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R PORT LABCAM\Desktop\BERNAL\REMARCO\Curso OA\OTGA\Presentaciones\Módulo AT\"/>
    </mc:Choice>
  </mc:AlternateContent>
  <bookViews>
    <workbookView xWindow="0" yWindow="0" windowWidth="19200" windowHeight="7050" tabRatio="591"/>
  </bookViews>
  <sheets>
    <sheet name="Comments" sheetId="8" r:id="rId1"/>
    <sheet name="Input" sheetId="9" r:id="rId2"/>
    <sheet name="Gran" sheetId="10" state="hidden" r:id="rId3"/>
    <sheet name="Kragten AT Gran" sheetId="7" state="hidden" r:id="rId4"/>
    <sheet name="NLLS" sheetId="3" r:id="rId5"/>
  </sheets>
  <definedNames>
    <definedName name="acid_density">Gran!$E$2</definedName>
    <definedName name="AT">NLLS!$F$2</definedName>
    <definedName name="C_acid">Input!$B$6</definedName>
    <definedName name="E0">Gran!$N$4</definedName>
    <definedName name="FT">NLLS!$B$6</definedName>
    <definedName name="I">NLLS!#REF!</definedName>
    <definedName name="IS">NLLS!$B$2</definedName>
    <definedName name="k">Gran!$E$4</definedName>
    <definedName name="KF">NLLS!$B$4</definedName>
    <definedName name="KS">NLLS!$B$3</definedName>
    <definedName name="m0">Input!$B$4</definedName>
    <definedName name="S">Input!$B$5</definedName>
    <definedName name="solver_adj" localSheetId="4" hidden="1">NLLS!$F$2:$F$3</definedName>
    <definedName name="solver_cvg" localSheetId="4" hidden="1">0.1</definedName>
    <definedName name="solver_drv" localSheetId="4" hidden="1">1</definedName>
    <definedName name="solver_eng" localSheetId="4" hidden="1">3</definedName>
    <definedName name="solver_est" localSheetId="4" hidden="1">1</definedName>
    <definedName name="solver_itr" localSheetId="4" hidden="1">2147483647</definedName>
    <definedName name="solver_lin" localSheetId="4" hidden="1">2</definedName>
    <definedName name="solver_mip" localSheetId="4" hidden="1">2147483647</definedName>
    <definedName name="solver_mni" localSheetId="4" hidden="1">5</definedName>
    <definedName name="solver_mrt" localSheetId="4" hidden="1">0.01</definedName>
    <definedName name="solver_msl" localSheetId="4" hidden="1">2</definedName>
    <definedName name="solver_neg" localSheetId="4" hidden="1">2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NLLS!$M$2</definedName>
    <definedName name="solver_pre" localSheetId="4" hidden="1">0.01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  <definedName name="ST">NLLS!$B$5</definedName>
    <definedName name="T">Gran!$E$3</definedName>
    <definedName name="Z">NLLS!$B$7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3" l="1"/>
  <c r="E7" i="10" l="1"/>
  <c r="E6" i="10"/>
  <c r="E5" i="10"/>
  <c r="E3" i="10"/>
  <c r="E4" i="10" s="1"/>
  <c r="E9" i="10" l="1"/>
  <c r="E2" i="10" l="1"/>
  <c r="G18" i="10" l="1"/>
  <c r="G14" i="10"/>
  <c r="G10" i="10"/>
  <c r="G6" i="10"/>
  <c r="G2" i="10"/>
  <c r="G5" i="10"/>
  <c r="G11" i="10"/>
  <c r="G3" i="10"/>
  <c r="G17" i="10"/>
  <c r="G13" i="10"/>
  <c r="G9" i="10"/>
  <c r="G15" i="10"/>
  <c r="G7" i="10"/>
  <c r="G19" i="10"/>
  <c r="G16" i="10"/>
  <c r="G12" i="10"/>
  <c r="G8" i="10"/>
  <c r="G4" i="10"/>
  <c r="F2" i="7"/>
  <c r="E2" i="7"/>
  <c r="B7" i="7"/>
  <c r="B6" i="7"/>
  <c r="H3" i="10" l="1"/>
  <c r="H11" i="10"/>
  <c r="H5" i="10"/>
  <c r="H6" i="10"/>
  <c r="H7" i="10"/>
  <c r="H15" i="10"/>
  <c r="H9" i="10"/>
  <c r="H10" i="10"/>
  <c r="H12" i="10"/>
  <c r="H16" i="10"/>
  <c r="H19" i="10"/>
  <c r="H4" i="10"/>
  <c r="H13" i="10"/>
  <c r="H14" i="10"/>
  <c r="H8" i="10"/>
  <c r="H17" i="10"/>
  <c r="H18" i="10"/>
  <c r="H2" i="10"/>
  <c r="E7" i="7"/>
  <c r="F7" i="7"/>
  <c r="C7" i="7"/>
  <c r="D6" i="7"/>
  <c r="E6" i="7"/>
  <c r="C6" i="7"/>
  <c r="D7" i="7"/>
  <c r="F6" i="7"/>
  <c r="J3" i="10" l="1"/>
  <c r="J2" i="10"/>
  <c r="K2" i="10"/>
  <c r="J4" i="10"/>
  <c r="K3" i="10"/>
  <c r="B4" i="3"/>
  <c r="B5" i="3"/>
  <c r="B2" i="3"/>
  <c r="B3" i="3" s="1"/>
  <c r="B6" i="3"/>
  <c r="N2" i="10" l="1"/>
  <c r="N3" i="10" s="1"/>
  <c r="E2" i="3" s="1"/>
  <c r="P18" i="10"/>
  <c r="P2" i="10"/>
  <c r="P13" i="10"/>
  <c r="P14" i="10"/>
  <c r="O2" i="10"/>
  <c r="B7" i="3"/>
  <c r="P3" i="10" l="1"/>
  <c r="O4" i="10" s="1"/>
  <c r="P12" i="10"/>
  <c r="P16" i="10"/>
  <c r="P10" i="10"/>
  <c r="P6" i="10"/>
  <c r="P4" i="10"/>
  <c r="P19" i="10"/>
  <c r="P9" i="10"/>
  <c r="P15" i="10"/>
  <c r="P7" i="10"/>
  <c r="P17" i="10"/>
  <c r="P11" i="10"/>
  <c r="P8" i="10"/>
  <c r="P5" i="10"/>
  <c r="N4" i="10" l="1"/>
  <c r="O5" i="10"/>
  <c r="H10" i="3"/>
  <c r="H18" i="3"/>
  <c r="H17" i="3"/>
  <c r="H3" i="3"/>
  <c r="H11" i="3"/>
  <c r="H19" i="3"/>
  <c r="H5" i="3"/>
  <c r="H16" i="3"/>
  <c r="H9" i="3"/>
  <c r="H4" i="3"/>
  <c r="H12" i="3"/>
  <c r="H2" i="3"/>
  <c r="H13" i="3"/>
  <c r="H6" i="3"/>
  <c r="H14" i="3"/>
  <c r="H7" i="3"/>
  <c r="H15" i="3"/>
  <c r="H8" i="3"/>
  <c r="D2" i="7"/>
  <c r="B5" i="7"/>
  <c r="C5" i="7" s="1"/>
  <c r="G2" i="7"/>
  <c r="C2" i="7"/>
  <c r="B4" i="7"/>
  <c r="I5" i="3" l="1"/>
  <c r="J5" i="3"/>
  <c r="I19" i="3"/>
  <c r="J19" i="3"/>
  <c r="I14" i="3"/>
  <c r="J14" i="3"/>
  <c r="J6" i="3"/>
  <c r="I6" i="3"/>
  <c r="I13" i="3"/>
  <c r="J13" i="3"/>
  <c r="I11" i="3"/>
  <c r="J11" i="3"/>
  <c r="I7" i="3"/>
  <c r="J7" i="3"/>
  <c r="I3" i="3"/>
  <c r="J3" i="3"/>
  <c r="J12" i="3"/>
  <c r="I12" i="3"/>
  <c r="I17" i="3"/>
  <c r="J17" i="3"/>
  <c r="I16" i="3"/>
  <c r="J16" i="3"/>
  <c r="I2" i="3"/>
  <c r="J2" i="3"/>
  <c r="I8" i="3"/>
  <c r="J8" i="3"/>
  <c r="J4" i="3"/>
  <c r="I4" i="3"/>
  <c r="I18" i="3"/>
  <c r="J18" i="3"/>
  <c r="I15" i="3"/>
  <c r="J15" i="3"/>
  <c r="J9" i="3"/>
  <c r="I9" i="3"/>
  <c r="J10" i="3"/>
  <c r="I10" i="3"/>
  <c r="B9" i="7"/>
  <c r="F5" i="7"/>
  <c r="E5" i="7"/>
  <c r="D5" i="7"/>
  <c r="C4" i="7"/>
  <c r="C9" i="7" s="1"/>
  <c r="D4" i="7"/>
  <c r="F4" i="7"/>
  <c r="E4" i="7"/>
  <c r="M3" i="3" l="1"/>
  <c r="D9" i="7"/>
  <c r="E9" i="7"/>
  <c r="E11" i="7" s="1"/>
  <c r="E13" i="7" s="1"/>
  <c r="F9" i="7"/>
  <c r="F11" i="7" s="1"/>
  <c r="F13" i="7" s="1"/>
  <c r="D11" i="7"/>
  <c r="D13" i="7" s="1"/>
  <c r="C11" i="7"/>
  <c r="C13" i="7" l="1"/>
  <c r="G13" i="7"/>
  <c r="M8" i="3"/>
  <c r="B13" i="7" l="1"/>
  <c r="O3" i="10" s="1"/>
  <c r="N9" i="3" l="1"/>
  <c r="O9" i="3" s="1"/>
  <c r="M2" i="3"/>
</calcChain>
</file>

<file path=xl/comments1.xml><?xml version="1.0" encoding="utf-8"?>
<comments xmlns="http://schemas.openxmlformats.org/spreadsheetml/2006/main">
  <authors>
    <author>Reviewer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Link to cell E2 (Gran alkalinity)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Reviewer: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Link to cell E2 (Gran alkalinity)</t>
        </r>
      </text>
    </comment>
  </commentList>
</comments>
</file>

<file path=xl/sharedStrings.xml><?xml version="1.0" encoding="utf-8"?>
<sst xmlns="http://schemas.openxmlformats.org/spreadsheetml/2006/main" count="105" uniqueCount="98">
  <si>
    <t>F1</t>
  </si>
  <si>
    <t>ST</t>
  </si>
  <si>
    <t>FT</t>
  </si>
  <si>
    <t>K(HSO4)   -  KS</t>
  </si>
  <si>
    <t>K(HF)  -  KF</t>
  </si>
  <si>
    <t>Z</t>
  </si>
  <si>
    <t>[H´]</t>
  </si>
  <si>
    <t>∆      </t>
  </si>
  <si>
    <t>R0</t>
  </si>
  <si>
    <t>R1</t>
  </si>
  <si>
    <t>R2</t>
  </si>
  <si>
    <t>R3</t>
  </si>
  <si>
    <t>R4</t>
  </si>
  <si>
    <t>R5</t>
  </si>
  <si>
    <t>A0</t>
  </si>
  <si>
    <t>A1</t>
  </si>
  <si>
    <t>A2</t>
  </si>
  <si>
    <t>A3</t>
  </si>
  <si>
    <t>A4</t>
  </si>
  <si>
    <t>B0</t>
  </si>
  <si>
    <t>B1</t>
  </si>
  <si>
    <t>B2</t>
  </si>
  <si>
    <t>C</t>
  </si>
  <si>
    <t>A</t>
  </si>
  <si>
    <t>B</t>
  </si>
  <si>
    <t>Acid Temperature</t>
  </si>
  <si>
    <t>CRM-172_1 20200109-11:57</t>
  </si>
  <si>
    <t>u[a]</t>
  </si>
  <si>
    <t>u(b)</t>
  </si>
  <si>
    <t>u(C)(mol/kg)</t>
  </si>
  <si>
    <t>u(m0)(g)</t>
  </si>
  <si>
    <t>Cov(a,b)</t>
  </si>
  <si>
    <t>u(AT, a)</t>
  </si>
  <si>
    <t>u(AT, b)</t>
  </si>
  <si>
    <t>u(AT, C)</t>
  </si>
  <si>
    <t>u(AT, m0)</t>
  </si>
  <si>
    <t>u[AT, Cov(a,b)]</t>
  </si>
  <si>
    <t>u(AT, a)^2</t>
  </si>
  <si>
    <t>u(AT, b)^2</t>
  </si>
  <si>
    <t>u(AT, C)^2</t>
  </si>
  <si>
    <t>u(AT, m0)^2</t>
  </si>
  <si>
    <t>Uncertainty</t>
  </si>
  <si>
    <r>
      <t>Titration Temperature(</t>
    </r>
    <r>
      <rPr>
        <b/>
        <sz val="12"/>
        <color rgb="FF000000"/>
        <rFont val="Calibri"/>
        <family val="2"/>
      </rPr>
      <t>°C)</t>
    </r>
  </si>
  <si>
    <t>AT(NLLS)i</t>
  </si>
  <si>
    <t>u(AT0)(mol/kg)(Método Kragten)</t>
  </si>
  <si>
    <t>Covariance(a,b)</t>
  </si>
  <si>
    <t>Written by Héctor Cartas, CEAC, Cuba, 2021-03-18</t>
  </si>
  <si>
    <t>Volume (mL)</t>
  </si>
  <si>
    <t>Sample:</t>
  </si>
  <si>
    <t>Code</t>
  </si>
  <si>
    <t>Mass (g)</t>
  </si>
  <si>
    <t>Salinity (psu)</t>
  </si>
  <si>
    <t>Acid concentration (mol/kg)</t>
  </si>
  <si>
    <t>Acid density (g/mL)</t>
  </si>
  <si>
    <t>Calculated:</t>
  </si>
  <si>
    <t>Value</t>
  </si>
  <si>
    <t>Titration:</t>
  </si>
  <si>
    <t>E (V)</t>
  </si>
  <si>
    <t>Titration temperature (K)</t>
  </si>
  <si>
    <t>Nernst Factor</t>
  </si>
  <si>
    <t>Constants:</t>
  </si>
  <si>
    <t>Rho0 (kg/m3)</t>
  </si>
  <si>
    <t>Sample density (kg/m3)</t>
  </si>
  <si>
    <t>Acid mass (g)</t>
  </si>
  <si>
    <t>Linear regression:</t>
  </si>
  <si>
    <t>Intercept (a)</t>
  </si>
  <si>
    <t>Slope (b)</t>
  </si>
  <si>
    <t>Gran Function:</t>
  </si>
  <si>
    <t>Equivalence point (g)</t>
  </si>
  <si>
    <t>Total alkalinity (mol/kg)</t>
  </si>
  <si>
    <t>E0 (V)</t>
  </si>
  <si>
    <t>Equilibrium constants:</t>
  </si>
  <si>
    <t>Ionic strength</t>
  </si>
  <si>
    <t>Initial estimates:</t>
  </si>
  <si>
    <t>Alkalinity</t>
  </si>
  <si>
    <t>f</t>
  </si>
  <si>
    <t>Optimized values</t>
  </si>
  <si>
    <t>Sum of squares * 1e12</t>
  </si>
  <si>
    <t>FINAL RESULTS:</t>
  </si>
  <si>
    <t>Expanded Uncertainty (k=2)</t>
  </si>
  <si>
    <t>AT(NLSS):</t>
  </si>
  <si>
    <t>AT (µmol/kg)</t>
  </si>
  <si>
    <t>Intercept, a</t>
  </si>
  <si>
    <t>Slope, b</t>
  </si>
  <si>
    <t>Acid concentration, C(mol/kg)</t>
  </si>
  <si>
    <t>Sample mas, m0(g)</t>
  </si>
  <si>
    <t>Initial total alkalinity, AT0(mol/kg)</t>
  </si>
  <si>
    <t>USE SOLVER (METHOD = EVOLUTIONARY)</t>
  </si>
  <si>
    <t>Revised by Prof. Joan-Albert Sanchez-Cabeza, 2021-06-08</t>
  </si>
  <si>
    <t>Excel file for the calculation of total alkalinity with SOLVER and uncertainties with the Kragten method</t>
  </si>
  <si>
    <t>This follows the procedures published by REMARCO (https://remarco.org/manual-ao/)</t>
  </si>
  <si>
    <t>To unlock, the password is remarco (lowercase)</t>
  </si>
  <si>
    <t>Please, send your comments to Hector Cartas Aguila &lt;hector@ceac.cu&gt;</t>
  </si>
  <si>
    <t xml:space="preserve">This work was supported by the International Atomic Energy Agency - IAEA, through the project RLA/7/025 entitled "Strengthening Capacities in Marine and Coastal Environments Using Nuclear and Isotopic Techniques". </t>
  </si>
  <si>
    <t xml:space="preserve">Sheet Solver (occult): uses Excel Solver to refine the Gran alkalinity </t>
  </si>
  <si>
    <t>Sheet Gran (occult): estimates AT and E0 with the Gran formula</t>
  </si>
  <si>
    <t>Please cite as: Cartas H., Sanchez-Cabeza J.A., Gómez M., Perez, E., Herrera J., Ruiz G., &amp; Bernal C. (2021) Excel file for the calculation of total alkalinity with SOLVER and uncertainties with the Kragten method. Red de Investigación de Estresores Marinos - Costeros en Latinoamérica y El Caribe – REMARCO. Cienfuegos, Cuba. https://remarco.org/manual-ao/</t>
  </si>
  <si>
    <t>Calculations in this Excel file are largely based on a file provided by Dr. Andrew Dickson.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</si>
</sst>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000"/>
    <numFmt numFmtId="165" formatCode="0.0000"/>
    <numFmt numFmtId="166" formatCode="0.00000"/>
    <numFmt numFmtId="167" formatCode="0.0000000"/>
    <numFmt numFmtId="168" formatCode="0.000"/>
    <numFmt numFmtId="169" formatCode="#,##0.0000"/>
    <numFmt numFmtId="170" formatCode="0.0E+00"/>
    <numFmt numFmtId="171" formatCode="0.00000E+00"/>
    <numFmt numFmtId="172" formatCode="0.0"/>
    <numFmt numFmtId="173" formatCode="0.0000E+00"/>
    <numFmt numFmtId="174" formatCode="0.00000000"/>
    <numFmt numFmtId="175" formatCode="0.000000E+00"/>
  </numFmts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1" fontId="0" fillId="0" borderId="0" xfId="0" applyNumberFormat="1" applyAlignment="1">
      <alignment horizontal="right"/>
    </xf>
    <xf numFmtId="168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9" fillId="0" borderId="0" xfId="0" applyNumberFormat="1" applyFont="1" applyAlignment="1">
      <alignment horizontal="center"/>
    </xf>
    <xf numFmtId="164" fontId="9" fillId="0" borderId="0" xfId="0" applyNumberFormat="1" applyFont="1"/>
    <xf numFmtId="166" fontId="10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164" fontId="0" fillId="0" borderId="0" xfId="0" applyNumberFormat="1" applyAlignment="1">
      <alignment horizontal="center"/>
    </xf>
    <xf numFmtId="167" fontId="0" fillId="0" borderId="0" xfId="0" applyNumberFormat="1"/>
    <xf numFmtId="165" fontId="0" fillId="0" borderId="0" xfId="0" applyNumberFormat="1" applyAlignment="1">
      <alignment horizontal="center"/>
    </xf>
    <xf numFmtId="170" fontId="0" fillId="0" borderId="0" xfId="0" applyNumberFormat="1"/>
    <xf numFmtId="172" fontId="0" fillId="0" borderId="0" xfId="0" applyNumberFormat="1"/>
    <xf numFmtId="0" fontId="2" fillId="0" borderId="0" xfId="0" applyFont="1" applyFill="1"/>
    <xf numFmtId="0" fontId="1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3" fillId="0" borderId="0" xfId="0" applyFont="1" applyFill="1" applyAlignment="1">
      <alignment horizontal="center"/>
    </xf>
    <xf numFmtId="168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1" fontId="13" fillId="0" borderId="0" xfId="0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17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3" fillId="3" borderId="0" xfId="0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172" fontId="2" fillId="0" borderId="0" xfId="0" applyNumberFormat="1" applyFont="1" applyFill="1"/>
    <xf numFmtId="166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9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5" fontId="11" fillId="0" borderId="0" xfId="0" applyNumberFormat="1" applyFont="1" applyAlignment="1">
      <alignment horizontal="center"/>
    </xf>
    <xf numFmtId="165" fontId="14" fillId="0" borderId="0" xfId="0" applyNumberFormat="1" applyFont="1"/>
    <xf numFmtId="2" fontId="9" fillId="0" borderId="0" xfId="0" applyNumberFormat="1" applyFont="1"/>
    <xf numFmtId="173" fontId="9" fillId="0" borderId="0" xfId="0" applyNumberFormat="1" applyFont="1"/>
    <xf numFmtId="171" fontId="9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174" fontId="9" fillId="0" borderId="0" xfId="0" applyNumberFormat="1" applyFont="1"/>
    <xf numFmtId="175" fontId="9" fillId="0" borderId="0" xfId="0" applyNumberFormat="1" applyFont="1"/>
    <xf numFmtId="0" fontId="2" fillId="0" borderId="0" xfId="0" applyFont="1" applyAlignment="1">
      <alignment wrapText="1"/>
    </xf>
    <xf numFmtId="0" fontId="9" fillId="0" borderId="0" xfId="0" applyFont="1" applyFill="1"/>
    <xf numFmtId="1" fontId="14" fillId="0" borderId="0" xfId="0" applyNumberFormat="1" applyFont="1" applyFill="1" applyProtection="1"/>
    <xf numFmtId="0" fontId="0" fillId="0" borderId="0" xfId="0" applyFill="1" applyAlignment="1">
      <alignment horizontal="left"/>
    </xf>
    <xf numFmtId="167" fontId="9" fillId="0" borderId="0" xfId="0" applyNumberFormat="1" applyFont="1" applyFill="1"/>
    <xf numFmtId="164" fontId="9" fillId="0" borderId="0" xfId="0" applyNumberFormat="1" applyFont="1" applyFill="1"/>
    <xf numFmtId="0" fontId="0" fillId="2" borderId="0" xfId="0" applyFill="1"/>
    <xf numFmtId="167" fontId="0" fillId="2" borderId="0" xfId="0" applyNumberFormat="1" applyFill="1"/>
    <xf numFmtId="168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73" fontId="0" fillId="0" borderId="0" xfId="0" applyNumberFormat="1" applyAlignment="1">
      <alignment horizontal="center"/>
    </xf>
    <xf numFmtId="174" fontId="0" fillId="0" borderId="0" xfId="0" applyNumberFormat="1" applyFill="1" applyAlignment="1">
      <alignment horizontal="center"/>
    </xf>
    <xf numFmtId="172" fontId="2" fillId="0" borderId="0" xfId="0" applyNumberFormat="1" applyFont="1" applyFill="1" applyAlignment="1">
      <alignment horizontal="center"/>
    </xf>
    <xf numFmtId="170" fontId="0" fillId="0" borderId="0" xfId="0" applyNumberFormat="1" applyAlignment="1">
      <alignment horizontal="center"/>
    </xf>
    <xf numFmtId="0" fontId="8" fillId="2" borderId="0" xfId="0" applyFont="1" applyFill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9" fillId="0" borderId="0" xfId="0" applyNumberFormat="1" applyFont="1" applyFill="1" applyProtection="1"/>
    <xf numFmtId="1" fontId="9" fillId="0" borderId="0" xfId="0" applyNumberFormat="1" applyFont="1" applyFill="1" applyAlignment="1" applyProtection="1">
      <alignment horizontal="right"/>
    </xf>
    <xf numFmtId="168" fontId="0" fillId="0" borderId="0" xfId="0" applyNumberFormat="1" applyFill="1"/>
    <xf numFmtId="166" fontId="0" fillId="0" borderId="0" xfId="0" applyNumberFormat="1" applyFill="1"/>
    <xf numFmtId="0" fontId="0" fillId="4" borderId="0" xfId="0" applyFont="1" applyFill="1" applyAlignment="1"/>
    <xf numFmtId="0" fontId="20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4" borderId="0" xfId="0" applyFont="1" applyFill="1"/>
    <xf numFmtId="2" fontId="14" fillId="5" borderId="0" xfId="0" applyNumberFormat="1" applyFont="1" applyFill="1" applyAlignment="1">
      <alignment horizontal="center"/>
    </xf>
    <xf numFmtId="167" fontId="14" fillId="5" borderId="0" xfId="0" applyNumberFormat="1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1" fillId="4" borderId="0" xfId="0" applyFont="1" applyFill="1" applyAlignment="1">
      <alignment horizontal="center" wrapText="1"/>
    </xf>
  </cellXfs>
  <cellStyles count="1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'Kragten AT Gran'!$C$12:$G$12</c:f>
              <c:strCache>
                <c:ptCount val="5"/>
                <c:pt idx="0">
                  <c:v>u(AT, a)^2</c:v>
                </c:pt>
                <c:pt idx="1">
                  <c:v>u(AT, b)^2</c:v>
                </c:pt>
                <c:pt idx="2">
                  <c:v>u(AT, C)^2</c:v>
                </c:pt>
                <c:pt idx="3">
                  <c:v>u(AT, m0)^2</c:v>
                </c:pt>
                <c:pt idx="4">
                  <c:v>u[AT, Cov(a,b)]</c:v>
                </c:pt>
              </c:strCache>
            </c:strRef>
          </c:cat>
          <c:val>
            <c:numRef>
              <c:f>'Kragten AT Gran'!$C$13:$G$13</c:f>
              <c:numCache>
                <c:formatCode>0.00E+00</c:formatCode>
                <c:ptCount val="5"/>
                <c:pt idx="0">
                  <c:v>4.3527877932867779E-11</c:v>
                </c:pt>
                <c:pt idx="1">
                  <c:v>2.4715884047350172E-11</c:v>
                </c:pt>
                <c:pt idx="2">
                  <c:v>3.1442075039548325E-14</c:v>
                </c:pt>
                <c:pt idx="3">
                  <c:v>1.9822360306778242E-17</c:v>
                </c:pt>
                <c:pt idx="4">
                  <c:v>-6.5427077421198688E-11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5-49DF-A8A1-27FE1F5B0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910901440"/>
        <c:axId val="-1910896000"/>
      </c:barChart>
      <c:catAx>
        <c:axId val="-191090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Componente</a:t>
                </a:r>
                <a:r>
                  <a:rPr lang="es-ES" baseline="0"/>
                  <a:t> de la incertidumbre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10896000"/>
        <c:crosses val="autoZero"/>
        <c:auto val="1"/>
        <c:lblAlgn val="ctr"/>
        <c:lblOffset val="100"/>
        <c:noMultiLvlLbl val="0"/>
      </c:catAx>
      <c:valAx>
        <c:axId val="-19108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Contribuciones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10901440"/>
        <c:crosses val="autoZero"/>
        <c:crossBetween val="between"/>
      </c:valAx>
      <c:spPr>
        <a:noFill/>
        <a:ln>
          <a:solidFill>
            <a:schemeClr val="accent1">
              <a:lumMod val="40000"/>
              <a:lumOff val="6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160159</xdr:colOff>
      <xdr:row>0</xdr:row>
      <xdr:rowOff>38911</xdr:rowOff>
    </xdr:from>
    <xdr:to>
      <xdr:col>12</xdr:col>
      <xdr:colOff>395111</xdr:colOff>
      <xdr:row>15</xdr:row>
      <xdr:rowOff>162277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10" zoomScaleNormal="110" workbookViewId="0">
      <selection activeCell="H9" sqref="H9"/>
    </sheetView>
  </sheetViews>
  <sheetFormatPr baseColWidth="10" defaultRowHeight="15.5" x14ac:dyDescent="0.35"/>
  <cols>
    <col min="1" max="16384" width="10.6640625" style="99"/>
  </cols>
  <sheetData>
    <row r="1" spans="1:12" ht="18.5" x14ac:dyDescent="0.45">
      <c r="A1" s="98" t="s">
        <v>89</v>
      </c>
    </row>
    <row r="2" spans="1:12" s="96" customFormat="1" ht="49.5" customHeight="1" x14ac:dyDescent="0.35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s="96" customFormat="1" ht="17" customHeight="1" x14ac:dyDescent="0.35">
      <c r="A3" s="105" t="s">
        <v>90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35">
      <c r="A4" s="100" t="s">
        <v>46</v>
      </c>
    </row>
    <row r="5" spans="1:12" x14ac:dyDescent="0.35">
      <c r="A5" s="100" t="s">
        <v>88</v>
      </c>
    </row>
    <row r="6" spans="1:12" x14ac:dyDescent="0.35">
      <c r="A6" s="100" t="s">
        <v>97</v>
      </c>
    </row>
    <row r="7" spans="1:12" x14ac:dyDescent="0.35">
      <c r="A7" s="99" t="s">
        <v>95</v>
      </c>
    </row>
    <row r="8" spans="1:12" x14ac:dyDescent="0.35">
      <c r="A8" s="99" t="s">
        <v>94</v>
      </c>
    </row>
    <row r="9" spans="1:12" s="96" customFormat="1" ht="14.25" customHeight="1" x14ac:dyDescent="0.35">
      <c r="B9" s="97" t="s">
        <v>91</v>
      </c>
    </row>
    <row r="10" spans="1:12" s="96" customFormat="1" ht="14.25" customHeight="1" x14ac:dyDescent="0.35"/>
    <row r="11" spans="1:12" s="96" customFormat="1" ht="14.25" customHeight="1" x14ac:dyDescent="0.35">
      <c r="A11" s="97" t="s">
        <v>92</v>
      </c>
    </row>
    <row r="12" spans="1:12" s="96" customFormat="1" ht="14.25" customHeight="1" x14ac:dyDescent="0.35"/>
    <row r="13" spans="1:12" s="96" customFormat="1" ht="26.5" customHeight="1" x14ac:dyDescent="0.35">
      <c r="A13" s="106" t="s">
        <v>93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</sheetData>
  <mergeCells count="3">
    <mergeCell ref="A2:L2"/>
    <mergeCell ref="A3:L3"/>
    <mergeCell ref="A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C6" sqref="C6"/>
    </sheetView>
  </sheetViews>
  <sheetFormatPr baseColWidth="10" defaultRowHeight="15.5" x14ac:dyDescent="0.35"/>
  <cols>
    <col min="1" max="1" width="24.1640625" style="55" bestFit="1" customWidth="1"/>
    <col min="2" max="2" width="24.58203125" bestFit="1" customWidth="1"/>
    <col min="4" max="4" width="7.83203125" customWidth="1"/>
    <col min="6" max="7" width="10.6640625" style="63"/>
  </cols>
  <sheetData>
    <row r="1" spans="1:7" x14ac:dyDescent="0.35">
      <c r="A1" s="60" t="s">
        <v>48</v>
      </c>
      <c r="B1" s="6" t="s">
        <v>55</v>
      </c>
      <c r="C1" s="6" t="s">
        <v>41</v>
      </c>
      <c r="E1" s="61" t="s">
        <v>56</v>
      </c>
      <c r="F1" s="62" t="s">
        <v>47</v>
      </c>
      <c r="G1" s="62" t="s">
        <v>57</v>
      </c>
    </row>
    <row r="2" spans="1:7" x14ac:dyDescent="0.35">
      <c r="A2" s="52" t="s">
        <v>49</v>
      </c>
      <c r="B2" s="1" t="s">
        <v>26</v>
      </c>
      <c r="F2" s="63">
        <v>1.2574999332427901</v>
      </c>
      <c r="G2" s="63">
        <v>0.20528810119628901</v>
      </c>
    </row>
    <row r="3" spans="1:7" x14ac:dyDescent="0.35">
      <c r="A3" s="55" t="s">
        <v>47</v>
      </c>
      <c r="B3" s="15">
        <v>50</v>
      </c>
      <c r="C3" s="15"/>
      <c r="F3" s="63">
        <v>1.27749991416931</v>
      </c>
      <c r="G3" s="63">
        <v>0.207990692138671</v>
      </c>
    </row>
    <row r="4" spans="1:7" x14ac:dyDescent="0.35">
      <c r="A4" s="55" t="s">
        <v>50</v>
      </c>
      <c r="B4" s="53">
        <v>49.9649</v>
      </c>
      <c r="C4" s="54">
        <v>1E-4</v>
      </c>
      <c r="F4" s="63">
        <v>1.2974998950958201</v>
      </c>
      <c r="G4" s="63">
        <v>0.21036560058593698</v>
      </c>
    </row>
    <row r="5" spans="1:7" x14ac:dyDescent="0.35">
      <c r="A5" s="55" t="s">
        <v>51</v>
      </c>
      <c r="B5" s="54">
        <v>33.450000000000003</v>
      </c>
      <c r="F5" s="63">
        <v>1.31749999523162</v>
      </c>
      <c r="G5" s="63">
        <v>0.21243780517578098</v>
      </c>
    </row>
    <row r="6" spans="1:7" x14ac:dyDescent="0.35">
      <c r="A6" s="52" t="s">
        <v>52</v>
      </c>
      <c r="B6" s="57">
        <v>0.10036399999999999</v>
      </c>
      <c r="C6" s="57">
        <v>7.9999999999999996E-6</v>
      </c>
      <c r="F6" s="63">
        <v>1.3374999761581401</v>
      </c>
      <c r="G6" s="63">
        <v>0.214419494628906</v>
      </c>
    </row>
    <row r="7" spans="1:7" x14ac:dyDescent="0.35">
      <c r="A7" s="56" t="s">
        <v>42</v>
      </c>
      <c r="B7" s="58">
        <v>21.83861542</v>
      </c>
      <c r="F7" s="63">
        <v>1.35749995708465</v>
      </c>
      <c r="G7" s="63">
        <v>0.21634814453125001</v>
      </c>
    </row>
    <row r="8" spans="1:7" x14ac:dyDescent="0.35">
      <c r="A8" s="56" t="s">
        <v>25</v>
      </c>
      <c r="B8" s="58">
        <v>21.83861542</v>
      </c>
      <c r="F8" s="63">
        <v>1.3774999380111601</v>
      </c>
      <c r="G8" s="63">
        <v>0.21821748352050699</v>
      </c>
    </row>
    <row r="9" spans="1:7" x14ac:dyDescent="0.35">
      <c r="F9" s="63">
        <v>1.39749991893768</v>
      </c>
      <c r="G9" s="63">
        <v>0.219902709960937</v>
      </c>
    </row>
    <row r="10" spans="1:7" x14ac:dyDescent="0.35">
      <c r="F10" s="63">
        <v>1.4174998998641899</v>
      </c>
      <c r="G10" s="63">
        <v>0.22145373535156199</v>
      </c>
    </row>
    <row r="11" spans="1:7" x14ac:dyDescent="0.35">
      <c r="F11" s="63">
        <v>1.4375</v>
      </c>
      <c r="G11" s="63">
        <v>0.222830001831054</v>
      </c>
    </row>
    <row r="12" spans="1:7" x14ac:dyDescent="0.35">
      <c r="F12" s="63">
        <v>1.4574999809265099</v>
      </c>
      <c r="G12" s="63">
        <v>0.22417506408691401</v>
      </c>
    </row>
    <row r="13" spans="1:7" x14ac:dyDescent="0.35">
      <c r="F13" s="63">
        <v>1.47749996185302</v>
      </c>
      <c r="G13" s="63">
        <v>0.22548579406738198</v>
      </c>
    </row>
    <row r="14" spans="1:7" x14ac:dyDescent="0.35">
      <c r="F14" s="63">
        <v>1.4974999427795399</v>
      </c>
      <c r="G14" s="63">
        <v>0.226818359375</v>
      </c>
    </row>
    <row r="15" spans="1:7" x14ac:dyDescent="0.35">
      <c r="F15" s="63">
        <v>1.51749992370605</v>
      </c>
      <c r="G15" s="63">
        <v>0.228047958374023</v>
      </c>
    </row>
    <row r="16" spans="1:7" x14ac:dyDescent="0.35">
      <c r="F16" s="63">
        <v>1.5374999046325599</v>
      </c>
      <c r="G16" s="63">
        <v>0.22919015502929599</v>
      </c>
    </row>
    <row r="17" spans="6:7" x14ac:dyDescent="0.35">
      <c r="F17" s="63">
        <v>1.55749988555908</v>
      </c>
      <c r="G17" s="63">
        <v>0.23023873901367101</v>
      </c>
    </row>
    <row r="18" spans="6:7" x14ac:dyDescent="0.35">
      <c r="F18" s="63">
        <v>1.5774999856948799</v>
      </c>
      <c r="G18" s="63">
        <v>0.23123426818847601</v>
      </c>
    </row>
    <row r="19" spans="6:7" x14ac:dyDescent="0.35">
      <c r="F19" s="63">
        <v>1.59749996662139</v>
      </c>
      <c r="G19" s="63">
        <v>0.232211074829101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0" zoomScaleNormal="80" workbookViewId="0">
      <selection activeCell="B23" sqref="B23"/>
    </sheetView>
  </sheetViews>
  <sheetFormatPr baseColWidth="10" defaultRowHeight="15.5" x14ac:dyDescent="0.35"/>
  <cols>
    <col min="1" max="1" width="9.4140625" style="55" bestFit="1" customWidth="1"/>
    <col min="2" max="2" width="13" style="67" bestFit="1" customWidth="1"/>
    <col min="3" max="3" width="2.9140625" customWidth="1"/>
    <col min="4" max="4" width="21.83203125" bestFit="1" customWidth="1"/>
    <col min="5" max="5" width="12.4140625" bestFit="1" customWidth="1"/>
    <col min="6" max="6" width="4.83203125" customWidth="1"/>
    <col min="7" max="7" width="11.58203125" bestFit="1" customWidth="1"/>
    <col min="9" max="9" width="15.33203125" bestFit="1" customWidth="1"/>
    <col min="10" max="10" width="12.25" bestFit="1" customWidth="1"/>
    <col min="11" max="11" width="10.5" bestFit="1" customWidth="1"/>
    <col min="12" max="12" width="3.33203125" customWidth="1"/>
    <col min="13" max="13" width="23.33203125" style="74" bestFit="1" customWidth="1"/>
    <col min="15" max="15" width="11.58203125" bestFit="1" customWidth="1"/>
  </cols>
  <sheetData>
    <row r="1" spans="1:16" x14ac:dyDescent="0.35">
      <c r="A1" s="55" t="s">
        <v>60</v>
      </c>
      <c r="D1" s="55" t="s">
        <v>54</v>
      </c>
      <c r="G1" s="5" t="s">
        <v>63</v>
      </c>
      <c r="H1" s="5" t="s">
        <v>0</v>
      </c>
      <c r="I1" s="6" t="s">
        <v>64</v>
      </c>
      <c r="K1" s="28" t="s">
        <v>41</v>
      </c>
      <c r="L1" s="28"/>
      <c r="M1" s="59" t="s">
        <v>67</v>
      </c>
      <c r="O1" s="28" t="s">
        <v>41</v>
      </c>
      <c r="P1" s="5" t="s">
        <v>70</v>
      </c>
    </row>
    <row r="2" spans="1:16" x14ac:dyDescent="0.35">
      <c r="A2" s="14" t="s">
        <v>8</v>
      </c>
      <c r="B2" s="18">
        <v>999.84259399999996</v>
      </c>
      <c r="D2" s="52" t="s">
        <v>53</v>
      </c>
      <c r="E2" s="54">
        <f>1.02888-1.108*10^-4*Input!B8-4*10^-6*Input!B8*Input!B8</f>
        <v>1.0245525809176135</v>
      </c>
      <c r="G2" s="19">
        <f>acid_density*Input!F2</f>
        <v>1.2883748021076273</v>
      </c>
      <c r="H2" s="17">
        <f xml:space="preserve"> (m0 + G2)*EXP(Input!G2/k)</f>
        <v>164813.94503665695</v>
      </c>
      <c r="I2" s="28" t="s">
        <v>66</v>
      </c>
      <c r="J2" s="93">
        <f>SLOPE(H2:H19, G2:G19)</f>
        <v>904666.60296277853</v>
      </c>
      <c r="K2" s="73">
        <f>STEYX(H2:H19,G2:G19)/SQRT((SUMSQ(G2:G19)-COUNT(G2:G19)*AVERAGE(G2:G19)^2))</f>
        <v>2026.3045441705997</v>
      </c>
      <c r="L2" s="73"/>
      <c r="M2" s="59" t="s">
        <v>68</v>
      </c>
      <c r="N2" s="79">
        <f xml:space="preserve"> -J3/J2</f>
        <v>1.1074665955229703</v>
      </c>
      <c r="O2" s="94">
        <f>N2*SQRT(SUMSQ(K2/J2,K3/J3))</f>
        <v>4.1159581453600099E-3</v>
      </c>
      <c r="P2" s="20">
        <f>Input!G2 - k*LN((G2*C_acid - m0*$N$3) / (m0 + G2))</f>
        <v>0.40726404823782425</v>
      </c>
    </row>
    <row r="3" spans="1:16" x14ac:dyDescent="0.35">
      <c r="A3" s="14" t="s">
        <v>9</v>
      </c>
      <c r="B3" s="69">
        <v>6.7939520000000003E-2</v>
      </c>
      <c r="C3" s="15"/>
      <c r="D3" s="55" t="s">
        <v>58</v>
      </c>
      <c r="E3" s="16">
        <f>Input!B7 + 273.15</f>
        <v>294.98861541999997</v>
      </c>
      <c r="G3" s="19">
        <f>acid_density*Input!F3</f>
        <v>1.3088658341841963</v>
      </c>
      <c r="H3" s="17">
        <f xml:space="preserve"> (m0 + G3)*EXP(Input!G3/k)</f>
        <v>183375.08639484528</v>
      </c>
      <c r="I3" s="28" t="s">
        <v>65</v>
      </c>
      <c r="J3" s="92">
        <f>INTERCEPT(H2:H19, G2:G19)</f>
        <v>-1001888.042866519</v>
      </c>
      <c r="K3" s="73">
        <f>STEYX(H2:H19,G2:G19)*(SQRT(SUMSQ(G2:G19)/(COUNT(G2:G19)*(SUMSQ(G2:G19)-COUNT(G2:G19)*AVERAGE(G2:G19)^2))))</f>
        <v>2971.3880081032485</v>
      </c>
      <c r="L3" s="73"/>
      <c r="M3" s="59" t="s">
        <v>69</v>
      </c>
      <c r="N3" s="75">
        <f>N2 * C_acid / m0</f>
        <v>2.2245571870066266E-3</v>
      </c>
      <c r="O3" s="75">
        <f>'Kragten AT Gran'!B13</f>
        <v>1.687645240096132E-6</v>
      </c>
      <c r="P3" s="20">
        <f>Input!G3 - k*LN((G3*C_acid - m0*$N$3) / (m0 + G3))</f>
        <v>0.40724922909729661</v>
      </c>
    </row>
    <row r="4" spans="1:16" x14ac:dyDescent="0.35">
      <c r="A4" s="14" t="s">
        <v>10</v>
      </c>
      <c r="B4" s="69">
        <v>-9.0952900000000007E-3</v>
      </c>
      <c r="C4" s="14"/>
      <c r="D4" s="55" t="s">
        <v>59</v>
      </c>
      <c r="E4" s="14">
        <f>(8.314472 * T/96485.3399)</f>
        <v>2.5420178710780061E-2</v>
      </c>
      <c r="G4" s="19">
        <f>acid_density*Input!F4</f>
        <v>1.3293568662607551</v>
      </c>
      <c r="H4" s="17">
        <f xml:space="preserve"> (m0 + G4)*EXP(Input!G4/k)</f>
        <v>201413.3731108768</v>
      </c>
      <c r="I4" s="28" t="s">
        <v>45</v>
      </c>
      <c r="J4" s="73">
        <f>-(STEYX(H2:H19,G2:G19)^2*AVERAGE(G2:G19)/(SUMSQ(G2:G19)-COUNT(G2:G19)*AVERAGE(G2:G19)^2))</f>
        <v>-6005093.6975766262</v>
      </c>
      <c r="K4" s="72"/>
      <c r="L4" s="72"/>
      <c r="M4" s="59" t="s">
        <v>70</v>
      </c>
      <c r="N4" s="76">
        <f>AVERAGE(Gran!P2:P19 )</f>
        <v>0.40708973206094495</v>
      </c>
      <c r="O4" s="95">
        <f>_xlfn.STDEV.S(P2:P19)</f>
        <v>8.9658520624923368E-5</v>
      </c>
      <c r="P4" s="20">
        <f>Input!G4 - k*LN((G4*C_acid - m0*$N$3) / (m0 + G4))</f>
        <v>0.4071712371305623</v>
      </c>
    </row>
    <row r="5" spans="1:16" x14ac:dyDescent="0.35">
      <c r="A5" s="14" t="s">
        <v>11</v>
      </c>
      <c r="B5" s="70">
        <v>1.001685E-4</v>
      </c>
      <c r="D5" s="6" t="s">
        <v>61</v>
      </c>
      <c r="E5" s="68">
        <f>B2+Input!B7*(B3+Input!B7*(B4+Input!B7*(B5+Input!B7*(B6+Input!B7*B7))))</f>
        <v>997.80951711367345</v>
      </c>
      <c r="G5" s="19">
        <f>acid_density*Input!F5</f>
        <v>1.3498480204734997</v>
      </c>
      <c r="H5" s="17">
        <f xml:space="preserve"> (m0 + G5)*EXP(Input!G5/k)</f>
        <v>218607.28006564389</v>
      </c>
      <c r="O5" s="95">
        <f>_xlfn.STDEV.S(P3:P20)/SQRT(COUNT(P3:P20))</f>
        <v>1.9599248423612647E-5</v>
      </c>
      <c r="P5" s="20">
        <f>Input!G5 - k*LN((G5*C_acid - m0*$N$3) / (m0 + G5))</f>
        <v>0.40700823942905984</v>
      </c>
    </row>
    <row r="6" spans="1:16" x14ac:dyDescent="0.35">
      <c r="A6" s="14" t="s">
        <v>12</v>
      </c>
      <c r="B6" s="70">
        <v>-1.120083E-6</v>
      </c>
      <c r="D6" s="6" t="s">
        <v>23</v>
      </c>
      <c r="E6" s="18">
        <f>B8+Input!B7*(B9+Input!B7*(B10+Input!B7*(B11+Input!B7*B12)))</f>
        <v>0.76426662204122064</v>
      </c>
      <c r="G6" s="19">
        <f>acid_density*Input!F6</f>
        <v>1.3703390525500689</v>
      </c>
      <c r="H6" s="17">
        <f xml:space="preserve"> (m0 + G6)*EXP(Input!G6/k)</f>
        <v>236425.57305251769</v>
      </c>
      <c r="P6" s="20">
        <f>Input!G6 - k*LN((G6*C_acid - m0*$N$3) / (m0 + G6))</f>
        <v>0.40693706902023413</v>
      </c>
    </row>
    <row r="7" spans="1:16" x14ac:dyDescent="0.35">
      <c r="A7" s="14" t="s">
        <v>13</v>
      </c>
      <c r="B7" s="70">
        <v>6.5363319999999997E-9</v>
      </c>
      <c r="D7" s="6" t="s">
        <v>24</v>
      </c>
      <c r="E7" s="66">
        <f>B13+Input!B7*(B14+Input!B7*B15)</f>
        <v>-4.2803451102779201E-3</v>
      </c>
      <c r="G7" s="19">
        <f>acid_density*Input!F7</f>
        <v>1.3908300846266277</v>
      </c>
      <c r="H7" s="17">
        <f xml:space="preserve"> (m0 + G7)*EXP(Input!G7/k)</f>
        <v>255163.20552654011</v>
      </c>
      <c r="P7" s="20">
        <f>Input!G7 - k*LN((G7*C_acid - m0*$N$3) / (m0 + G7))</f>
        <v>0.40696778621457319</v>
      </c>
    </row>
    <row r="8" spans="1:16" x14ac:dyDescent="0.35">
      <c r="A8" s="14" t="s">
        <v>14</v>
      </c>
      <c r="B8" s="18">
        <v>0.82449300000000003</v>
      </c>
      <c r="D8" s="6" t="s">
        <v>22</v>
      </c>
      <c r="E8" s="66">
        <v>4.8314000000000001E-4</v>
      </c>
      <c r="G8" s="19">
        <f>acid_density*Input!F8</f>
        <v>1.4113211167031867</v>
      </c>
      <c r="H8" s="17">
        <f xml:space="preserve"> (m0 + G8)*EXP(Input!G8/k)</f>
        <v>274744.03614366573</v>
      </c>
      <c r="P8" s="20">
        <f>Input!G8 - k*LN((G8*C_acid - m0*$N$3) / (m0 + G8))</f>
        <v>0.40707246584010881</v>
      </c>
    </row>
    <row r="9" spans="1:16" x14ac:dyDescent="0.35">
      <c r="A9" s="14" t="s">
        <v>15</v>
      </c>
      <c r="B9" s="65">
        <v>-4.0898999999999996E-3</v>
      </c>
      <c r="D9" s="71" t="s">
        <v>62</v>
      </c>
      <c r="E9" s="64">
        <f>E5+S*(E6+E7*SQRT(S)+E8*S)</f>
        <v>1023.0867408901416</v>
      </c>
      <c r="G9" s="19">
        <f>acid_density*Input!F9</f>
        <v>1.4318121487797557</v>
      </c>
      <c r="H9" s="17">
        <f xml:space="preserve"> (m0 + G9)*EXP(Input!G9/k)</f>
        <v>293692.55248775467</v>
      </c>
      <c r="P9" s="20">
        <f>Input!G9 - k*LN((G9*C_acid - m0*$N$3) / (m0 + G9))</f>
        <v>0.40710889707493431</v>
      </c>
    </row>
    <row r="10" spans="1:16" x14ac:dyDescent="0.35">
      <c r="A10" s="14" t="s">
        <v>16</v>
      </c>
      <c r="B10" s="65">
        <v>7.6438000000000002E-5</v>
      </c>
      <c r="G10" s="19">
        <f>acid_density*Input!F10</f>
        <v>1.4523031808563145</v>
      </c>
      <c r="H10" s="17">
        <f xml:space="preserve"> (m0 + G10)*EXP(Input!G10/k)</f>
        <v>312294.79682868847</v>
      </c>
      <c r="P10" s="20">
        <f>Input!G10 - k*LN((G10*C_acid - m0*$N$3) / (m0 + G10))</f>
        <v>0.40711278518655303</v>
      </c>
    </row>
    <row r="11" spans="1:16" x14ac:dyDescent="0.35">
      <c r="A11" s="14" t="s">
        <v>17</v>
      </c>
      <c r="B11" s="65">
        <v>-8.2467000000000004E-7</v>
      </c>
      <c r="G11" s="19">
        <f>acid_density*Input!F11</f>
        <v>1.4727943350690693</v>
      </c>
      <c r="H11" s="17">
        <f xml:space="preserve"> (m0 + G11)*EXP(Input!G11/k)</f>
        <v>329800.11519466731</v>
      </c>
      <c r="P11" s="20">
        <f>Input!G11 - k*LN((G11*C_acid - m0*$N$3) / (m0 + G11))</f>
        <v>0.4070318200852609</v>
      </c>
    </row>
    <row r="12" spans="1:16" x14ac:dyDescent="0.35">
      <c r="A12" s="14" t="s">
        <v>18</v>
      </c>
      <c r="B12" s="65">
        <v>5.3875000000000003E-9</v>
      </c>
      <c r="G12" s="19">
        <f>acid_density*Input!F12</f>
        <v>1.4932853671456281</v>
      </c>
      <c r="H12" s="17">
        <f xml:space="preserve"> (m0 + G12)*EXP(Input!G12/k)</f>
        <v>347859.34494337701</v>
      </c>
      <c r="P12" s="20">
        <f>Input!G12 - k*LN((G12*C_acid - m0*$N$3) / (m0 + G12))</f>
        <v>0.40699975428579538</v>
      </c>
    </row>
    <row r="13" spans="1:16" x14ac:dyDescent="0.35">
      <c r="A13" s="14" t="s">
        <v>19</v>
      </c>
      <c r="B13" s="66">
        <v>-5.7246600000000003E-3</v>
      </c>
      <c r="G13" s="19">
        <f>acid_density*Input!F13</f>
        <v>1.5137763992221871</v>
      </c>
      <c r="H13" s="17">
        <f xml:space="preserve"> (m0 + G13)*EXP(Input!G13/k)</f>
        <v>366412.19822401373</v>
      </c>
      <c r="P13" s="20">
        <f>Input!G13 - k*LN((G13*C_acid - m0*$N$3) / (m0 + G13))</f>
        <v>0.40700515686682065</v>
      </c>
    </row>
    <row r="14" spans="1:16" x14ac:dyDescent="0.35">
      <c r="A14" s="14" t="s">
        <v>20</v>
      </c>
      <c r="B14" s="65">
        <v>1.0226999999999999E-4</v>
      </c>
      <c r="G14" s="19">
        <f>acid_density*Input!F14</f>
        <v>1.5342674312987561</v>
      </c>
      <c r="H14" s="17">
        <f xml:space="preserve"> (m0 + G14)*EXP(Input!G14/k)</f>
        <v>386286.16292039928</v>
      </c>
      <c r="P14" s="20">
        <f>Input!G14 - k*LN((G14*C_acid - m0*$N$3) / (m0 + G14))</f>
        <v>0.40709712655034047</v>
      </c>
    </row>
    <row r="15" spans="1:16" x14ac:dyDescent="0.35">
      <c r="A15" s="14" t="s">
        <v>21</v>
      </c>
      <c r="B15" s="65">
        <v>-1.6546E-6</v>
      </c>
      <c r="G15" s="19">
        <f>acid_density*Input!F15</f>
        <v>1.5547584633753151</v>
      </c>
      <c r="H15" s="17">
        <f xml:space="preserve"> (m0 + G15)*EXP(Input!G15/k)</f>
        <v>405591.80304518068</v>
      </c>
      <c r="P15" s="20">
        <f>Input!G15 - k*LN((G15*C_acid - m0*$N$3) / (m0 + G15))</f>
        <v>0.40714478788606256</v>
      </c>
    </row>
    <row r="16" spans="1:16" x14ac:dyDescent="0.35">
      <c r="G16" s="19">
        <f>acid_density*Input!F16</f>
        <v>1.5752494954518739</v>
      </c>
      <c r="H16" s="17">
        <f xml:space="preserve"> (m0 + G16)*EXP(Input!G16/k)</f>
        <v>424400.49449219578</v>
      </c>
      <c r="P16" s="20">
        <f>Input!G16 - k*LN((G16*C_acid - m0*$N$3) / (m0 + G16))</f>
        <v>0.40715844766773213</v>
      </c>
    </row>
    <row r="17" spans="1:16" x14ac:dyDescent="0.35">
      <c r="G17" s="19">
        <f>acid_density*Input!F17</f>
        <v>1.5957405275284431</v>
      </c>
      <c r="H17" s="17">
        <f xml:space="preserve"> (m0 + G17)*EXP(Input!G17/k)</f>
        <v>442448.96766561054</v>
      </c>
      <c r="P17" s="20">
        <f>Input!G17 - k*LN((G17*C_acid - m0*$N$3) / (m0 + G17))</f>
        <v>0.40712731489868981</v>
      </c>
    </row>
    <row r="18" spans="1:16" x14ac:dyDescent="0.35">
      <c r="G18" s="19">
        <f>acid_density*Input!F18</f>
        <v>1.6162316817411875</v>
      </c>
      <c r="H18" s="17">
        <f xml:space="preserve"> (m0 + G18)*EXP(Input!G18/k)</f>
        <v>460303.20772076398</v>
      </c>
      <c r="P18" s="20">
        <f>Input!G18 - k*LN((G18*C_acid - m0*$N$3) / (m0 + G18))</f>
        <v>0.40708792591729126</v>
      </c>
    </row>
    <row r="19" spans="1:16" x14ac:dyDescent="0.35">
      <c r="A19" s="14"/>
      <c r="B19" s="64"/>
      <c r="G19" s="19">
        <f>acid_density*Input!F19</f>
        <v>1.6367227138177465</v>
      </c>
      <c r="H19" s="17">
        <f xml:space="preserve"> (m0 + G19)*EXP(Input!G19/k)</f>
        <v>478525.27266041312</v>
      </c>
      <c r="P19" s="20">
        <f>Input!G19 - k*LN((G19*C_acid - m0*$N$3) / (m0 + G19))</f>
        <v>0.40707108570786832</v>
      </c>
    </row>
    <row r="21" spans="1:16" x14ac:dyDescent="0.35">
      <c r="A21" s="14"/>
      <c r="B21" s="64"/>
    </row>
    <row r="22" spans="1:16" x14ac:dyDescent="0.35">
      <c r="A22" s="14"/>
      <c r="B22" s="64"/>
    </row>
  </sheetData>
  <sheetProtection algorithmName="SHA-512" hashValue="MkzyASYZKGq+RAug9zCjjZAlZ2nvfSecd9MhUEzYbLbBo/SOzXnnl/H7oqcqQBVex5MvGjb4lv1bH3Ovd5RhUQ==" saltValue="1nH8Q/LDxMBd7R3pu/Gr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F7" sqref="F7"/>
    </sheetView>
  </sheetViews>
  <sheetFormatPr baseColWidth="10" defaultColWidth="11" defaultRowHeight="15.5" x14ac:dyDescent="0.35"/>
  <cols>
    <col min="1" max="1" width="34" style="21" bestFit="1" customWidth="1"/>
    <col min="2" max="2" width="11.5" style="21" bestFit="1" customWidth="1"/>
    <col min="3" max="3" width="11" style="21" bestFit="1" customWidth="1"/>
    <col min="4" max="6" width="11.5" style="21" bestFit="1" customWidth="1"/>
    <col min="7" max="7" width="12.5" style="21" bestFit="1" customWidth="1"/>
    <col min="8" max="16384" width="11" style="21"/>
  </cols>
  <sheetData>
    <row r="1" spans="1:7" x14ac:dyDescent="0.35">
      <c r="C1" s="29" t="s">
        <v>27</v>
      </c>
      <c r="D1" s="29" t="s">
        <v>28</v>
      </c>
      <c r="E1" s="29" t="s">
        <v>29</v>
      </c>
      <c r="F1" s="29" t="s">
        <v>30</v>
      </c>
      <c r="G1" s="29" t="s">
        <v>31</v>
      </c>
    </row>
    <row r="2" spans="1:7" x14ac:dyDescent="0.35">
      <c r="C2" s="39">
        <f>Gran!K3</f>
        <v>2971.3880081032485</v>
      </c>
      <c r="D2" s="39">
        <f>Gran!K2</f>
        <v>2026.3045441705997</v>
      </c>
      <c r="E2" s="21">
        <f>Input!C6</f>
        <v>7.9999999999999996E-6</v>
      </c>
      <c r="F2" s="25">
        <f>Input!C4</f>
        <v>1E-4</v>
      </c>
      <c r="G2" s="31">
        <f>Gran!J4</f>
        <v>-6005093.6975766262</v>
      </c>
    </row>
    <row r="3" spans="1:7" x14ac:dyDescent="0.35">
      <c r="C3" s="30"/>
      <c r="D3" s="30"/>
      <c r="F3" s="25"/>
      <c r="G3" s="31"/>
    </row>
    <row r="4" spans="1:7" x14ac:dyDescent="0.35">
      <c r="A4" s="29" t="s">
        <v>82</v>
      </c>
      <c r="B4" s="44">
        <f>Gran!J3</f>
        <v>-1001888.042866519</v>
      </c>
      <c r="C4" s="101">
        <f>$B4+C$2</f>
        <v>-998916.65485841571</v>
      </c>
      <c r="D4" s="44">
        <f>B4</f>
        <v>-1001888.042866519</v>
      </c>
      <c r="E4" s="44">
        <f>B4</f>
        <v>-1001888.042866519</v>
      </c>
      <c r="F4" s="44">
        <f>B4</f>
        <v>-1001888.042866519</v>
      </c>
    </row>
    <row r="5" spans="1:7" x14ac:dyDescent="0.35">
      <c r="A5" s="29" t="s">
        <v>83</v>
      </c>
      <c r="B5" s="44">
        <f>Gran!J2</f>
        <v>904666.60296277853</v>
      </c>
      <c r="C5" s="44">
        <f>B5</f>
        <v>904666.60296277853</v>
      </c>
      <c r="D5" s="101">
        <f>$B5+D$2</f>
        <v>906692.90750694915</v>
      </c>
      <c r="E5" s="44">
        <f t="shared" ref="E5:F5" si="0">$B5</f>
        <v>904666.60296277853</v>
      </c>
      <c r="F5" s="44">
        <f t="shared" si="0"/>
        <v>904666.60296277853</v>
      </c>
    </row>
    <row r="6" spans="1:7" x14ac:dyDescent="0.35">
      <c r="A6" s="32" t="s">
        <v>84</v>
      </c>
      <c r="B6" s="45">
        <f>C_acid</f>
        <v>0.10036399999999999</v>
      </c>
      <c r="C6" s="45">
        <f>B6</f>
        <v>0.10036399999999999</v>
      </c>
      <c r="D6" s="45">
        <f>$B6</f>
        <v>0.10036399999999999</v>
      </c>
      <c r="E6" s="102">
        <f>$B6+E$2</f>
        <v>0.10037199999999999</v>
      </c>
      <c r="F6" s="45">
        <f>$B6</f>
        <v>0.10036399999999999</v>
      </c>
    </row>
    <row r="7" spans="1:7" x14ac:dyDescent="0.35">
      <c r="A7" s="32" t="s">
        <v>85</v>
      </c>
      <c r="B7" s="46">
        <f>m0</f>
        <v>49.9649</v>
      </c>
      <c r="C7" s="46">
        <f>B7</f>
        <v>49.9649</v>
      </c>
      <c r="D7" s="46">
        <f t="shared" ref="D7:E7" si="1">$B7</f>
        <v>49.9649</v>
      </c>
      <c r="E7" s="46">
        <f t="shared" si="1"/>
        <v>49.9649</v>
      </c>
      <c r="F7" s="103">
        <f>$B7+F$2</f>
        <v>49.965000000000003</v>
      </c>
    </row>
    <row r="8" spans="1:7" x14ac:dyDescent="0.35">
      <c r="A8" s="29"/>
    </row>
    <row r="9" spans="1:7" x14ac:dyDescent="0.35">
      <c r="A9" s="32" t="s">
        <v>86</v>
      </c>
      <c r="B9" s="50">
        <f>-((B4/B5)*B6)/B7</f>
        <v>2.2245571870066266E-3</v>
      </c>
      <c r="C9" s="50">
        <f t="shared" ref="C9:F9" si="2">-((C4/C5)*C6)/C7</f>
        <v>2.2179596209453531E-3</v>
      </c>
      <c r="D9" s="50">
        <f t="shared" si="2"/>
        <v>2.2195856797857377E-3</v>
      </c>
      <c r="E9" s="50">
        <f t="shared" si="2"/>
        <v>2.2247345061399415E-3</v>
      </c>
      <c r="F9" s="50">
        <f t="shared" si="2"/>
        <v>2.2245527347756907E-3</v>
      </c>
    </row>
    <row r="10" spans="1:7" x14ac:dyDescent="0.35">
      <c r="A10" s="32"/>
      <c r="B10" s="33"/>
      <c r="C10" s="34" t="s">
        <v>32</v>
      </c>
      <c r="D10" s="34" t="s">
        <v>33</v>
      </c>
      <c r="E10" s="34" t="s">
        <v>34</v>
      </c>
      <c r="F10" s="34" t="s">
        <v>35</v>
      </c>
    </row>
    <row r="11" spans="1:7" x14ac:dyDescent="0.35">
      <c r="A11" s="35"/>
      <c r="B11" s="32"/>
      <c r="C11" s="31">
        <f>C9-$B$9</f>
        <v>-6.5975660612734889E-6</v>
      </c>
      <c r="D11" s="31">
        <f t="shared" ref="D11:F11" si="3">D9-$B$9</f>
        <v>-4.9715072208888697E-6</v>
      </c>
      <c r="E11" s="31">
        <f t="shared" si="3"/>
        <v>1.7731913331490295E-7</v>
      </c>
      <c r="F11" s="31">
        <f t="shared" si="3"/>
        <v>-4.4522309359217027E-9</v>
      </c>
    </row>
    <row r="12" spans="1:7" x14ac:dyDescent="0.35">
      <c r="A12" s="35"/>
      <c r="B12" s="32"/>
      <c r="C12" s="34" t="s">
        <v>37</v>
      </c>
      <c r="D12" s="34" t="s">
        <v>38</v>
      </c>
      <c r="E12" s="34" t="s">
        <v>39</v>
      </c>
      <c r="F12" s="34" t="s">
        <v>40</v>
      </c>
      <c r="G12" s="34" t="s">
        <v>36</v>
      </c>
    </row>
    <row r="13" spans="1:7" x14ac:dyDescent="0.35">
      <c r="A13" s="40" t="s">
        <v>44</v>
      </c>
      <c r="B13" s="51">
        <f>SQRT(SUM(C13:G13))</f>
        <v>1.687645240096132E-6</v>
      </c>
      <c r="C13" s="31">
        <f>C11^2</f>
        <v>4.3527877932867779E-11</v>
      </c>
      <c r="D13" s="31">
        <f t="shared" ref="D13:F13" si="4">D11^2</f>
        <v>2.4715884047350172E-11</v>
      </c>
      <c r="E13" s="31">
        <f t="shared" si="4"/>
        <v>3.1442075039548325E-14</v>
      </c>
      <c r="F13" s="31">
        <f t="shared" si="4"/>
        <v>1.9822360306778242E-17</v>
      </c>
      <c r="G13" s="31">
        <f>2*(C11/C2)*(D11/D2)*G2</f>
        <v>-6.5427077421198688E-11</v>
      </c>
    </row>
    <row r="14" spans="1:7" x14ac:dyDescent="0.35">
      <c r="A14" s="32"/>
      <c r="B14" s="33"/>
      <c r="C14" s="31"/>
      <c r="D14" s="31"/>
      <c r="E14" s="31"/>
      <c r="F14" s="31"/>
    </row>
    <row r="15" spans="1:7" x14ac:dyDescent="0.35">
      <c r="A15" s="32"/>
      <c r="B15" s="50"/>
      <c r="E15" s="31"/>
    </row>
    <row r="16" spans="1:7" x14ac:dyDescent="0.35">
      <c r="C16" s="36"/>
    </row>
    <row r="17" spans="1:6" x14ac:dyDescent="0.35">
      <c r="A17" s="32"/>
      <c r="B17" s="49"/>
      <c r="C17" s="41"/>
      <c r="D17" s="42"/>
      <c r="E17" s="42"/>
      <c r="F17" s="42"/>
    </row>
    <row r="18" spans="1:6" x14ac:dyDescent="0.35">
      <c r="C18" s="35"/>
      <c r="D18" s="35"/>
      <c r="E18" s="35"/>
      <c r="F18" s="35"/>
    </row>
    <row r="19" spans="1:6" x14ac:dyDescent="0.35">
      <c r="A19" s="32"/>
      <c r="B19" s="43"/>
      <c r="C19" s="35"/>
      <c r="D19" s="42"/>
      <c r="E19" s="35"/>
      <c r="F19" s="35"/>
    </row>
    <row r="20" spans="1:6" x14ac:dyDescent="0.35">
      <c r="B20" s="37"/>
    </row>
    <row r="21" spans="1:6" x14ac:dyDescent="0.35">
      <c r="B21" s="37"/>
    </row>
    <row r="22" spans="1:6" x14ac:dyDescent="0.35">
      <c r="A22" s="29"/>
      <c r="B22" s="38"/>
      <c r="E22" s="31"/>
    </row>
    <row r="23" spans="1:6" x14ac:dyDescent="0.35">
      <c r="A23" s="29"/>
      <c r="B23" s="38"/>
    </row>
  </sheetData>
  <sheetProtection algorithmName="SHA-512" hashValue="id02JNtXsqJprB4pUxpJ6ql3z99/4yVMDOIOuqV8tefz6jmk86+fi8/AdMBJ2mhrVZTeLmCGyTfUFt2zJRwvsQ==" saltValue="lSeMFHRIUr4fwmFsTIKF9g==" spinCount="100000" sheet="1" objects="1" scenarios="1"/>
  <pageMargins left="0.7" right="0.7" top="0.75" bottom="0.75" header="0.3" footer="0.3"/>
  <ignoredErrors>
    <ignoredError sqref="E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zoomScale="80" zoomScaleNormal="80" zoomScalePageLayoutView="108" workbookViewId="0">
      <selection activeCell="B2" sqref="B2"/>
    </sheetView>
  </sheetViews>
  <sheetFormatPr baseColWidth="10" defaultColWidth="11" defaultRowHeight="15.5" x14ac:dyDescent="0.35"/>
  <cols>
    <col min="1" max="1" width="14.08203125" style="55" customWidth="1"/>
    <col min="3" max="3" width="5.83203125" customWidth="1"/>
    <col min="4" max="4" width="17.1640625" bestFit="1" customWidth="1"/>
    <col min="5" max="5" width="10.08203125" bestFit="1" customWidth="1"/>
    <col min="6" max="6" width="17.6640625" bestFit="1" customWidth="1"/>
    <col min="7" max="7" width="8.5" customWidth="1"/>
    <col min="8" max="8" width="10.08203125" bestFit="1" customWidth="1"/>
    <col min="9" max="9" width="9" bestFit="1" customWidth="1"/>
    <col min="10" max="10" width="15.08203125" style="21" customWidth="1"/>
    <col min="11" max="11" width="5.58203125" customWidth="1"/>
    <col min="12" max="12" width="19.75" bestFit="1" customWidth="1"/>
    <col min="13" max="13" width="12.08203125" style="21" bestFit="1" customWidth="1"/>
    <col min="14" max="14" width="12.08203125" bestFit="1" customWidth="1"/>
    <col min="15" max="15" width="13.58203125" bestFit="1" customWidth="1"/>
    <col min="16" max="16" width="12.25" bestFit="1" customWidth="1"/>
    <col min="17" max="17" width="16.25" customWidth="1"/>
    <col min="19" max="19" width="12.08203125" bestFit="1" customWidth="1"/>
  </cols>
  <sheetData>
    <row r="1" spans="1:16" ht="18.5" x14ac:dyDescent="0.45">
      <c r="A1" s="80" t="s">
        <v>71</v>
      </c>
      <c r="B1" s="8"/>
      <c r="C1" s="8"/>
      <c r="D1" s="8" t="s">
        <v>73</v>
      </c>
      <c r="E1" s="8"/>
      <c r="F1" s="8" t="s">
        <v>76</v>
      </c>
      <c r="H1" s="5" t="s">
        <v>6</v>
      </c>
      <c r="I1" s="2" t="s">
        <v>7</v>
      </c>
      <c r="J1" s="82" t="s">
        <v>43</v>
      </c>
      <c r="L1" s="8" t="s">
        <v>80</v>
      </c>
    </row>
    <row r="2" spans="1:16" x14ac:dyDescent="0.35">
      <c r="A2" s="55" t="s">
        <v>72</v>
      </c>
      <c r="B2" s="3">
        <f>19.924 * S/(1000 - 1.005 *S)</f>
        <v>0.68964165595878035</v>
      </c>
      <c r="D2" s="6" t="s">
        <v>74</v>
      </c>
      <c r="E2" s="24">
        <f>Gran!N3</f>
        <v>2.2245571870066266E-3</v>
      </c>
      <c r="F2" s="78">
        <v>2.2199312569162561E-3</v>
      </c>
      <c r="H2" s="10">
        <f>EXP((Input!G2 - E0) / k)</f>
        <v>3.5669148239913194E-4</v>
      </c>
      <c r="I2" s="12">
        <f xml:space="preserve"> AT  +  ST/(1+KS*Z/($F$3*H2))  +  FT/(1+KF/($F$3*H2))  +  ((m0 + Gran!G2)/m0)*($F$3*H2/Z)  -  (Gran!G2/m0)*C_acid</f>
        <v>1.9292402811629285E-6</v>
      </c>
      <c r="J2" s="83">
        <f xml:space="preserve"> ((Gran!G2/m0)*C_acid)-(ST/(1+KS*Z/($F$3*H2))  +  FT/(1+KF/($F$3*H2))  +  ((m0 + Gran!G2)/m0)*($F$3*H2/Z))</f>
        <v>2.2180020166350932E-3</v>
      </c>
      <c r="L2" s="6" t="s">
        <v>77</v>
      </c>
      <c r="M2" s="39">
        <f>1000000000000 * SUMSQ(I2:I19)</f>
        <v>56.509154584115947</v>
      </c>
    </row>
    <row r="3" spans="1:16" x14ac:dyDescent="0.35">
      <c r="A3" s="55" t="s">
        <v>3</v>
      </c>
      <c r="B3" s="3">
        <f>EXP(-4276.1/T + 141.328 - 23.093*LN(T)  + (-13856/T + 324.57 - 47.986*LN(T))*SQRT(IS)  +  (35474/T - 771.54 + 114.723*LN(T))*IS  - (2698/T)*IS^1.5  +  (1776/T)*IS^2  +  LN(1-0.001005*S) )</f>
        <v>0.10939482028092468</v>
      </c>
      <c r="D3" s="6" t="s">
        <v>75</v>
      </c>
      <c r="E3" s="24">
        <v>1</v>
      </c>
      <c r="F3" s="78">
        <v>0.99212397348627734</v>
      </c>
      <c r="H3" s="10">
        <f>EXP((Input!G3 - E0) / k)</f>
        <v>3.9670303153761002E-4</v>
      </c>
      <c r="I3" s="12">
        <f xml:space="preserve"> AT  +  ST/(1+KS*Z/($F$3*H3))  +  FT/(1+KF/($F$3*H3))  +  ((m0 + Gran!G3)/m0)*($F$3*H3/Z)  -  (Gran!G3/m0)*C_acid</f>
        <v>2.2278287182663642E-6</v>
      </c>
      <c r="J3" s="83">
        <f xml:space="preserve"> ((Gran!G3/m0)*C_acid)-(ST/(1+KS*Z/($F$3*H3))  +  FT/(1+KF/($F$3*H3))  +  ((m0 + Gran!G3)/m0)*($F$3*H3/Z))</f>
        <v>2.2177034281979898E-3</v>
      </c>
      <c r="L3" s="6" t="s">
        <v>41</v>
      </c>
      <c r="M3" s="90">
        <f>1000000*STDEV(J2:J19)/SQRT(COUNT(J2:J19))</f>
        <v>0.42971726073177202</v>
      </c>
    </row>
    <row r="4" spans="1:16" x14ac:dyDescent="0.35">
      <c r="A4" s="55" t="s">
        <v>4</v>
      </c>
      <c r="B4" s="3">
        <f>EXP(874/T - 9.68 + 0.111*SQRT(S) )</f>
        <v>2.2991990111821182E-3</v>
      </c>
      <c r="H4" s="10">
        <f>EXP((Input!G4 - E0) / k)</f>
        <v>4.3555195147974455E-4</v>
      </c>
      <c r="I4" s="12">
        <f xml:space="preserve"> AT  +  ST/(1+KS*Z/($F$3*H4))  +  FT/(1+KF/($F$3*H4))  +  ((m0 + Gran!G4)/m0)*($F$3*H4/Z)  -  (Gran!G4/m0)*C_acid</f>
        <v>1.3227474326077751E-6</v>
      </c>
      <c r="J4" s="83">
        <f xml:space="preserve"> ((Gran!G4/m0)*C_acid)-(ST/(1+KS*Z/($F$3*H4))  +  FT/(1+KF/($F$3*H4))  +  ((m0 + Gran!G4)/m0)*($F$3*H4/Z))</f>
        <v>2.2186085094836484E-3</v>
      </c>
    </row>
    <row r="5" spans="1:16" ht="18.5" x14ac:dyDescent="0.45">
      <c r="A5" s="55" t="s">
        <v>1</v>
      </c>
      <c r="B5" s="3">
        <f xml:space="preserve"> 0.02824 * S/35</f>
        <v>2.6989371428571433E-2</v>
      </c>
      <c r="D5" s="1"/>
      <c r="E5" s="1"/>
      <c r="F5" s="1"/>
      <c r="H5" s="10">
        <f>EXP((Input!G5 - E0) / k)</f>
        <v>4.7254462059205245E-4</v>
      </c>
      <c r="I5" s="12">
        <f xml:space="preserve"> AT  +  ST/(1+KS*Z/($F$3*H5))  +  FT/(1+KF/($F$3*H5))  +  ((m0 + Gran!G5)/m0)*($F$3*H5/Z)  -  (Gran!G5/m0)*C_acid</f>
        <v>-1.4999120758266149E-6</v>
      </c>
      <c r="J5" s="83">
        <f xml:space="preserve"> ((Gran!G5/m0)*C_acid)-(ST/(1+KS*Z/($F$3*H5))  +  FT/(1+KF/($F$3*H5))  +  ((m0 + Gran!G5)/m0)*($F$3*H5/Z))</f>
        <v>2.2214311689920828E-3</v>
      </c>
      <c r="L5" s="87" t="s">
        <v>87</v>
      </c>
      <c r="M5" s="91"/>
      <c r="N5" s="77"/>
      <c r="O5" s="77"/>
      <c r="P5" s="77"/>
    </row>
    <row r="6" spans="1:16" x14ac:dyDescent="0.35">
      <c r="A6" s="52" t="s">
        <v>2</v>
      </c>
      <c r="B6" s="3">
        <f xml:space="preserve"> 0.00007 * S/35</f>
        <v>6.69E-5</v>
      </c>
      <c r="C6" s="1"/>
      <c r="D6" s="1"/>
      <c r="E6" s="1"/>
      <c r="F6" s="1"/>
      <c r="H6" s="10">
        <f>EXP((Input!G6 - E0) / k)</f>
        <v>5.1085690169861613E-4</v>
      </c>
      <c r="I6" s="12">
        <f xml:space="preserve"> AT  +  ST/(1+KS*Z/($F$3*H6))  +  FT/(1+KF/($F$3*H6))  +  ((m0 + Gran!G6)/m0)*($F$3*H6/Z)  -  (Gran!G6/m0)*C_acid</f>
        <v>-2.9598968792447777E-6</v>
      </c>
      <c r="J6" s="83">
        <f xml:space="preserve"> ((Gran!G6/m0)*C_acid)-(ST/(1+KS*Z/($F$3*H6))  +  FT/(1+KF/($F$3*H6))  +  ((m0 + Gran!G6)/m0)*($F$3*H6/Z))</f>
        <v>2.2228911537955009E-3</v>
      </c>
      <c r="K6" s="2"/>
    </row>
    <row r="7" spans="1:16" x14ac:dyDescent="0.35">
      <c r="A7" s="52" t="s">
        <v>5</v>
      </c>
      <c r="B7" s="3">
        <f>1 + ST/KS</f>
        <v>1.2467152590887121</v>
      </c>
      <c r="C7" s="1"/>
      <c r="D7" s="1"/>
      <c r="E7" s="1"/>
      <c r="F7" s="1"/>
      <c r="H7" s="10">
        <f>EXP((Input!G7 - E0) / k)</f>
        <v>5.5112428099638518E-4</v>
      </c>
      <c r="I7" s="12">
        <f xml:space="preserve"> AT  +  ST/(1+KS*Z/($F$3*H7))  +  FT/(1+KF/($F$3*H7))  +  ((m0 + Gran!G7)/m0)*($F$3*H7/Z)  -  (Gran!G7/m0)*C_acid</f>
        <v>-2.4023257874819341E-6</v>
      </c>
      <c r="J7" s="83">
        <f xml:space="preserve"> ((Gran!G7/m0)*C_acid)-(ST/(1+KS*Z/($F$3*H7))  +  FT/(1+KF/($F$3*H7))  +  ((m0 + Gran!G7)/m0)*($F$3*H7/Z))</f>
        <v>2.2223335827037385E-3</v>
      </c>
      <c r="L7" s="6" t="s">
        <v>78</v>
      </c>
      <c r="M7" s="4"/>
      <c r="N7" s="6" t="s">
        <v>41</v>
      </c>
      <c r="O7" s="6" t="s">
        <v>79</v>
      </c>
    </row>
    <row r="8" spans="1:16" x14ac:dyDescent="0.35">
      <c r="A8" s="52"/>
      <c r="B8" s="1"/>
      <c r="C8" s="1"/>
      <c r="D8" s="1"/>
      <c r="E8" s="1"/>
      <c r="F8" s="1"/>
      <c r="H8" s="10">
        <f>EXP((Input!G8 - E0) / k)</f>
        <v>5.9318002787233791E-4</v>
      </c>
      <c r="I8" s="12">
        <f xml:space="preserve"> AT  +  ST/(1+KS*Z/($F$3*H8))  +  FT/(1+KF/($F$3*H8))  +  ((m0 + Gran!G8)/m0)*($F$3*H8/Z)  -  (Gran!G8/m0)*C_acid</f>
        <v>-1.2829306844305832E-10</v>
      </c>
      <c r="J8" s="83">
        <f xml:space="preserve"> ((Gran!G8/m0)*C_acid)-(ST/(1+KS*Z/($F$3*H8))  +  FT/(1+KF/($F$3*H8))  +  ((m0 + Gran!G8)/m0)*($F$3*H8/Z))</f>
        <v>2.219931385209325E-3</v>
      </c>
      <c r="L8" s="6" t="s">
        <v>70</v>
      </c>
      <c r="M8" s="88">
        <f>E0 + k *LN($F$3)</f>
        <v>0.40688872946539106</v>
      </c>
      <c r="N8" s="6"/>
      <c r="O8" s="6"/>
    </row>
    <row r="9" spans="1:16" x14ac:dyDescent="0.35">
      <c r="A9" s="52"/>
      <c r="B9" s="1"/>
      <c r="C9" s="1"/>
      <c r="D9" s="1"/>
      <c r="E9" s="1"/>
      <c r="F9" s="1"/>
      <c r="H9" s="10">
        <f>EXP((Input!G9 - E0) / k)</f>
        <v>6.3383760101172536E-4</v>
      </c>
      <c r="I9" s="12">
        <f xml:space="preserve"> AT  +  ST/(1+KS*Z/($F$3*H9))  +  FT/(1+KF/($F$3*H9))  +  ((m0 + Gran!G9)/m0)*($F$3*H9/Z)  -  (Gran!G9/m0)*C_acid</f>
        <v>9.6088200604626042E-7</v>
      </c>
      <c r="J9" s="83">
        <f xml:space="preserve"> ((Gran!G9/m0)*C_acid)-(ST/(1+KS*Z/($F$3*H9))  +  FT/(1+KF/($F$3*H9))  +  ((m0 + Gran!G9)/m0)*($F$3*H9/Z))</f>
        <v>2.2189703749102099E-3</v>
      </c>
      <c r="L9" s="89" t="s">
        <v>81</v>
      </c>
      <c r="M9" s="85">
        <f>1000000 * AT</f>
        <v>2219.9312569162562</v>
      </c>
      <c r="N9" s="48">
        <f>SQRT((1000000*Gran!O3)^2+M3^2)</f>
        <v>1.7414945824176282</v>
      </c>
      <c r="O9" s="48">
        <f>2*N9</f>
        <v>3.4829891648352564</v>
      </c>
    </row>
    <row r="10" spans="1:16" x14ac:dyDescent="0.35">
      <c r="A10" s="52"/>
      <c r="B10" s="1"/>
      <c r="C10" s="1"/>
      <c r="D10" s="1"/>
      <c r="E10" s="1"/>
      <c r="F10" s="1"/>
      <c r="H10" s="10">
        <f>EXP((Input!G10 - E0) / k)</f>
        <v>6.737157530281255E-4</v>
      </c>
      <c r="I10" s="12">
        <f xml:space="preserve"> AT  +  ST/(1+KS*Z/($F$3*H10))  +  FT/(1+KF/($F$3*H10))  +  ((m0 + Gran!G10)/m0)*($F$3*H10/Z)  -  (Gran!G10/m0)*C_acid</f>
        <v>1.1205062632785485E-6</v>
      </c>
      <c r="J10" s="83">
        <f xml:space="preserve"> ((Gran!G10/m0)*C_acid)-(ST/(1+KS*Z/($F$3*H10))  +  FT/(1+KF/($F$3*H10))  +  ((m0 + Gran!G10)/m0)*($F$3*H10/Z))</f>
        <v>2.2188107506529776E-3</v>
      </c>
      <c r="N10" s="2"/>
    </row>
    <row r="11" spans="1:16" x14ac:dyDescent="0.35">
      <c r="A11" s="52"/>
      <c r="B11" s="1"/>
      <c r="C11" s="1"/>
      <c r="H11" s="10">
        <f>EXP((Input!G11 - E0) / k)</f>
        <v>7.1119666775589288E-4</v>
      </c>
      <c r="I11" s="12">
        <f xml:space="preserve"> AT  +  ST/(1+KS*Z/($F$3*H11))  +  FT/(1+KF/($F$3*H11))  +  ((m0 + Gran!G11)/m0)*($F$3*H11/Z)  -  (Gran!G11/m0)*C_acid</f>
        <v>-1.1872237197885042E-6</v>
      </c>
      <c r="J11" s="83">
        <f xml:space="preserve"> ((Gran!G11/m0)*C_acid)-(ST/(1+KS*Z/($F$3*H11))  +  FT/(1+KF/($F$3*H11))  +  ((m0 + Gran!G11)/m0)*($F$3*H11/Z))</f>
        <v>2.2211184806360442E-3</v>
      </c>
      <c r="K11" s="2"/>
      <c r="L11" s="11"/>
      <c r="N11" s="2"/>
    </row>
    <row r="12" spans="1:16" x14ac:dyDescent="0.35">
      <c r="D12" s="7"/>
      <c r="E12" s="7"/>
      <c r="F12" s="7"/>
      <c r="H12" s="10">
        <f>EXP((Input!G12 - E0) / k)</f>
        <v>7.4984173894698228E-4</v>
      </c>
      <c r="I12" s="12">
        <f xml:space="preserve"> AT  +  ST/(1+KS*Z/($F$3*H12))  +  FT/(1+KF/($F$3*H12))  +  ((m0 + Gran!G12)/m0)*($F$3*H12/Z)  -  (Gran!G12/m0)*C_acid</f>
        <v>-2.2904832893476217E-6</v>
      </c>
      <c r="J12" s="83">
        <f xml:space="preserve"> ((Gran!G12/m0)*C_acid)-(ST/(1+KS*Z/($F$3*H12))  +  FT/(1+KF/($F$3*H12))  +  ((m0 + Gran!G12)/m0)*($F$3*H12/Z))</f>
        <v>2.2222217402056038E-3</v>
      </c>
      <c r="K12" s="3"/>
      <c r="L12" s="11"/>
      <c r="N12" s="2"/>
    </row>
    <row r="13" spans="1:16" x14ac:dyDescent="0.35">
      <c r="A13" s="56"/>
      <c r="B13" s="7"/>
      <c r="C13" s="7"/>
      <c r="D13" s="1"/>
      <c r="E13" s="1"/>
      <c r="F13" s="1"/>
      <c r="H13" s="10">
        <f>EXP((Input!G13 - E0) / k)</f>
        <v>7.8951967073668736E-4</v>
      </c>
      <c r="I13" s="12">
        <f xml:space="preserve"> AT  +  ST/(1+KS*Z/($F$3*H13))  +  FT/(1+KF/($F$3*H13))  +  ((m0 + Gran!G13)/m0)*($F$3*H13/Z)  -  (Gran!G13/m0)*C_acid</f>
        <v>-2.3248507712383439E-6</v>
      </c>
      <c r="J13" s="83">
        <f xml:space="preserve"> ((Gran!G13/m0)*C_acid)-(ST/(1+KS*Z/($F$3*H13))  +  FT/(1+KF/($F$3*H13))  +  ((m0 + Gran!G13)/m0)*($F$3*H13/Z))</f>
        <v>2.2222561076874945E-3</v>
      </c>
      <c r="L13" s="11"/>
      <c r="N13" s="2"/>
    </row>
    <row r="14" spans="1:16" x14ac:dyDescent="0.35">
      <c r="A14" s="52"/>
      <c r="B14" s="1"/>
      <c r="C14" s="1"/>
      <c r="D14" s="1"/>
      <c r="E14" s="1"/>
      <c r="F14" s="1"/>
      <c r="H14" s="10">
        <f>EXP((Input!G14 - E0) / k)</f>
        <v>8.3201153446326695E-4</v>
      </c>
      <c r="I14" s="12">
        <f xml:space="preserve"> AT  +  ST/(1+KS*Z/($F$3*H14))  +  FT/(1+KF/($F$3*H14))  +  ((m0 + Gran!G14)/m0)*($F$3*H14/Z)  -  (Gran!G14/m0)*C_acid</f>
        <v>5.4391770286680782E-7</v>
      </c>
      <c r="J14" s="83">
        <f xml:space="preserve"> ((Gran!G14/m0)*C_acid)-(ST/(1+KS*Z/($F$3*H14))  +  FT/(1+KF/($F$3*H14))  +  ((m0 + Gran!G14)/m0)*($F$3*H14/Z))</f>
        <v>2.2193873392133893E-3</v>
      </c>
      <c r="L14" s="11"/>
      <c r="N14" s="2"/>
    </row>
    <row r="15" spans="1:16" x14ac:dyDescent="0.35">
      <c r="A15" s="52"/>
      <c r="B15" s="1"/>
      <c r="C15" s="1"/>
      <c r="D15" s="9"/>
      <c r="E15" s="9"/>
      <c r="F15" s="9"/>
      <c r="H15" s="10">
        <f>EXP((Input!G15 - E0) / k)</f>
        <v>8.7324598503942202E-4</v>
      </c>
      <c r="I15" s="12">
        <f xml:space="preserve"> AT  +  ST/(1+KS*Z/($F$3*H15))  +  FT/(1+KF/($F$3*H15))  +  ((m0 + Gran!G15)/m0)*($F$3*H15/Z)  -  (Gran!G15/m0)*C_acid</f>
        <v>2.1227531377004429E-6</v>
      </c>
      <c r="J15" s="83">
        <f xml:space="preserve"> ((Gran!G15/m0)*C_acid)-(ST/(1+KS*Z/($F$3*H15))  +  FT/(1+KF/($F$3*H15))  +  ((m0 + Gran!G15)/m0)*($F$3*H15/Z))</f>
        <v>2.2178085037785561E-3</v>
      </c>
      <c r="K15" s="4"/>
    </row>
    <row r="16" spans="1:16" x14ac:dyDescent="0.35">
      <c r="A16" s="81"/>
      <c r="B16" s="9"/>
      <c r="C16" s="9"/>
      <c r="D16" s="1"/>
      <c r="E16" s="1"/>
      <c r="F16" s="1"/>
      <c r="H16" s="10">
        <f>EXP((Input!G16 - E0) / k)</f>
        <v>9.1337813461541794E-4</v>
      </c>
      <c r="I16" s="12">
        <f xml:space="preserve"> AT  +  ST/(1+KS*Z/($F$3*H16))  +  FT/(1+KF/($F$3*H16))  +  ((m0 + Gran!G16)/m0)*($F$3*H16/Z)  -  (Gran!G16/m0)*C_acid</f>
        <v>2.5727123065992855E-6</v>
      </c>
      <c r="J16" s="83">
        <f xml:space="preserve"> ((Gran!G16/m0)*C_acid)-(ST/(1+KS*Z/($F$3*H16))  +  FT/(1+KF/($F$3*H16))  +  ((m0 + Gran!G16)/m0)*($F$3*H16/Z))</f>
        <v>2.2173585446096569E-3</v>
      </c>
      <c r="K16" s="13"/>
    </row>
    <row r="17" spans="1:12" x14ac:dyDescent="0.35">
      <c r="A17" s="52"/>
      <c r="B17" s="1"/>
      <c r="C17" s="1"/>
      <c r="D17" s="1"/>
      <c r="E17" s="1"/>
      <c r="F17" s="1"/>
      <c r="H17" s="10">
        <f>EXP((Input!G17 - E0) / k)</f>
        <v>9.5184292406272331E-4</v>
      </c>
      <c r="I17" s="12">
        <f xml:space="preserve"> AT  +  ST/(1+KS*Z/($F$3*H17))  +  FT/(1+KF/($F$3*H17))  +  ((m0 + Gran!G17)/m0)*($F$3*H17/Z)  -  (Gran!G17/m0)*C_acid</f>
        <v>1.3132585490265546E-6</v>
      </c>
      <c r="J17" s="83">
        <f xml:space="preserve"> ((Gran!G17/m0)*C_acid)-(ST/(1+KS*Z/($F$3*H17))  +  FT/(1+KF/($F$3*H17))  +  ((m0 + Gran!G17)/m0)*($F$3*H17/Z))</f>
        <v>2.2186179983672296E-3</v>
      </c>
      <c r="K17" s="13"/>
    </row>
    <row r="18" spans="1:12" x14ac:dyDescent="0.35">
      <c r="A18" s="52"/>
      <c r="B18" s="1"/>
      <c r="C18" s="1"/>
      <c r="D18" s="1"/>
      <c r="E18" s="1"/>
      <c r="F18" s="1"/>
      <c r="H18" s="10">
        <f>EXP((Input!G18 - E0) / k)</f>
        <v>9.8985946146236403E-4</v>
      </c>
      <c r="I18" s="12">
        <f xml:space="preserve"> AT  +  ST/(1+KS*Z/($F$3*H18))  +  FT/(1+KF/($F$3*H18))  +  ((m0 + Gran!G18)/m0)*($F$3*H18/Z)  -  (Gran!G18/m0)*C_acid</f>
        <v>-3.9996110830090373E-7</v>
      </c>
      <c r="J18" s="83">
        <f xml:space="preserve"> ((Gran!G18/m0)*C_acid)-(ST/(1+KS*Z/($F$3*H18))  +  FT/(1+KF/($F$3*H18))  +  ((m0 + Gran!G18)/m0)*($F$3*H18/Z))</f>
        <v>2.220331218024557E-3</v>
      </c>
      <c r="K18" s="13"/>
    </row>
    <row r="19" spans="1:12" x14ac:dyDescent="0.35">
      <c r="A19" s="52"/>
      <c r="B19" s="1"/>
      <c r="C19" s="1"/>
      <c r="D19" s="1"/>
      <c r="E19" s="1"/>
      <c r="F19" s="1"/>
      <c r="H19" s="10">
        <f>EXP((Input!G19 - E0) / k)</f>
        <v>1.028636483603024E-3</v>
      </c>
      <c r="I19" s="12">
        <f xml:space="preserve"> AT  +  ST/(1+KS*Z/($F$3*H19))  +  FT/(1+KF/($F$3*H19))  +  ((m0 + Gran!G19)/m0)*($F$3*H19/Z)  -  (Gran!G19/m0)*C_acid</f>
        <v>-1.3219090832998319E-6</v>
      </c>
      <c r="J19" s="83">
        <f xml:space="preserve"> ((Gran!G19/m0)*C_acid)-(ST/(1+KS*Z/($F$3*H19))  +  FT/(1+KF/($F$3*H19))  +  ((m0 + Gran!G19)/m0)*($F$3*H19/Z))</f>
        <v>2.2212531659995564E-3</v>
      </c>
      <c r="K19" s="13"/>
    </row>
    <row r="20" spans="1:12" x14ac:dyDescent="0.35">
      <c r="A20" s="52"/>
      <c r="B20" s="1"/>
      <c r="C20" s="1"/>
      <c r="D20" s="1"/>
      <c r="E20" s="1"/>
      <c r="F20" s="1"/>
      <c r="H20" s="10"/>
      <c r="K20" s="13"/>
    </row>
    <row r="21" spans="1:12" x14ac:dyDescent="0.35">
      <c r="A21" s="52"/>
      <c r="B21" s="1"/>
      <c r="C21" s="1"/>
      <c r="D21" s="1"/>
      <c r="E21" s="1"/>
      <c r="F21" s="1"/>
      <c r="K21" s="13"/>
    </row>
    <row r="22" spans="1:12" x14ac:dyDescent="0.35">
      <c r="A22" s="52"/>
      <c r="B22" s="1"/>
      <c r="C22" s="1"/>
      <c r="D22" s="1"/>
      <c r="E22" s="1"/>
      <c r="F22" s="1"/>
      <c r="H22" s="10"/>
      <c r="K22" s="13"/>
      <c r="L22" s="22"/>
    </row>
    <row r="23" spans="1:12" x14ac:dyDescent="0.35">
      <c r="A23" s="52"/>
      <c r="B23" s="1"/>
      <c r="C23" s="1"/>
      <c r="D23" s="1"/>
      <c r="E23" s="1"/>
      <c r="F23" s="1"/>
      <c r="H23" s="28"/>
      <c r="K23" s="13"/>
      <c r="L23" s="22"/>
    </row>
    <row r="24" spans="1:12" x14ac:dyDescent="0.35">
      <c r="A24" s="52"/>
      <c r="B24" s="1"/>
      <c r="C24" s="1"/>
      <c r="D24" s="1"/>
      <c r="E24" s="1"/>
      <c r="F24" s="1"/>
      <c r="I24" s="47"/>
      <c r="J24" s="84"/>
      <c r="K24" s="13"/>
      <c r="L24" s="22"/>
    </row>
    <row r="25" spans="1:12" x14ac:dyDescent="0.35">
      <c r="A25" s="52"/>
      <c r="B25" s="1"/>
      <c r="C25" s="1"/>
      <c r="D25" s="1"/>
      <c r="E25" s="1"/>
      <c r="F25" s="1"/>
      <c r="I25" s="47"/>
      <c r="J25" s="84"/>
      <c r="K25" s="13"/>
      <c r="L25" s="22"/>
    </row>
    <row r="26" spans="1:12" x14ac:dyDescent="0.35">
      <c r="A26" s="52"/>
      <c r="B26" s="1"/>
      <c r="C26" s="1"/>
      <c r="D26" s="1"/>
      <c r="E26" s="1"/>
      <c r="F26" s="1"/>
      <c r="I26" s="28"/>
      <c r="J26" s="85"/>
      <c r="K26" s="13"/>
      <c r="L26" s="22"/>
    </row>
    <row r="27" spans="1:12" x14ac:dyDescent="0.35">
      <c r="A27" s="52"/>
      <c r="B27" s="1"/>
      <c r="C27" s="1"/>
      <c r="D27" s="1"/>
      <c r="E27" s="1"/>
      <c r="F27" s="1"/>
      <c r="K27" s="13"/>
      <c r="L27" s="22"/>
    </row>
    <row r="28" spans="1:12" x14ac:dyDescent="0.35">
      <c r="A28" s="52"/>
      <c r="B28" s="1"/>
      <c r="C28" s="1"/>
      <c r="D28" s="1"/>
      <c r="E28" s="1"/>
      <c r="F28" s="1"/>
      <c r="I28" s="26"/>
      <c r="J28" s="86"/>
      <c r="K28" s="13"/>
      <c r="L28" s="22"/>
    </row>
    <row r="29" spans="1:12" x14ac:dyDescent="0.35">
      <c r="A29" s="52"/>
      <c r="B29" s="1"/>
      <c r="C29" s="1"/>
      <c r="D29" s="1"/>
      <c r="E29" s="1"/>
      <c r="F29" s="1"/>
      <c r="I29" s="3"/>
      <c r="J29" s="23"/>
      <c r="K29" s="13"/>
      <c r="L29" s="22"/>
    </row>
    <row r="30" spans="1:12" x14ac:dyDescent="0.35">
      <c r="A30" s="52"/>
      <c r="B30" s="1"/>
      <c r="C30" s="1"/>
      <c r="D30" s="1"/>
      <c r="E30" s="1"/>
      <c r="F30" s="1"/>
      <c r="I30" s="27"/>
      <c r="J30" s="37"/>
      <c r="K30" s="13"/>
      <c r="L30" s="22"/>
    </row>
    <row r="31" spans="1:12" x14ac:dyDescent="0.35">
      <c r="A31" s="52"/>
      <c r="B31" s="1"/>
      <c r="C31" s="1"/>
      <c r="D31" s="1"/>
      <c r="E31" s="1"/>
      <c r="F31" s="1"/>
      <c r="I31" s="24"/>
      <c r="J31" s="23"/>
      <c r="K31" s="13"/>
      <c r="L31" s="22"/>
    </row>
    <row r="32" spans="1:12" x14ac:dyDescent="0.35">
      <c r="A32" s="52"/>
      <c r="B32" s="1"/>
      <c r="C32" s="1"/>
      <c r="D32" s="1"/>
      <c r="E32" s="1"/>
      <c r="F32" s="1"/>
      <c r="K32" s="13"/>
      <c r="L32" s="22"/>
    </row>
    <row r="33" spans="1:12" x14ac:dyDescent="0.35">
      <c r="A33" s="52"/>
      <c r="B33" s="1"/>
      <c r="C33" s="1"/>
      <c r="D33" s="1"/>
      <c r="E33" s="1"/>
      <c r="F33" s="1"/>
      <c r="K33" s="13"/>
      <c r="L33" s="22"/>
    </row>
    <row r="34" spans="1:12" x14ac:dyDescent="0.35">
      <c r="A34" s="52"/>
      <c r="B34" s="1"/>
      <c r="C34" s="1"/>
      <c r="D34" s="1"/>
      <c r="E34" s="1"/>
      <c r="F34" s="1"/>
      <c r="K34" s="13"/>
    </row>
    <row r="35" spans="1:12" x14ac:dyDescent="0.35">
      <c r="A35" s="52"/>
      <c r="B35" s="1"/>
      <c r="C35" s="1"/>
      <c r="D35" s="1"/>
      <c r="E35" s="1"/>
      <c r="F35" s="1"/>
      <c r="L35" s="22"/>
    </row>
    <row r="36" spans="1:12" x14ac:dyDescent="0.35">
      <c r="A36" s="52"/>
      <c r="B36" s="1"/>
      <c r="C36" s="1"/>
      <c r="D36" s="9"/>
      <c r="E36" s="9"/>
      <c r="F36" s="9"/>
    </row>
    <row r="37" spans="1:12" x14ac:dyDescent="0.35">
      <c r="A37" s="81"/>
      <c r="B37" s="9"/>
      <c r="C37" s="9"/>
    </row>
  </sheetData>
  <pageMargins left="0.75" right="0.75" top="1" bottom="1" header="0.5" footer="0.5"/>
  <pageSetup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Comments</vt:lpstr>
      <vt:lpstr>Input</vt:lpstr>
      <vt:lpstr>Gran</vt:lpstr>
      <vt:lpstr>Kragten AT Gran</vt:lpstr>
      <vt:lpstr>NLLS</vt:lpstr>
      <vt:lpstr>acid_density</vt:lpstr>
      <vt:lpstr>AT</vt:lpstr>
      <vt:lpstr>C_acid</vt:lpstr>
      <vt:lpstr>E0</vt:lpstr>
      <vt:lpstr>FT</vt:lpstr>
      <vt:lpstr>IS</vt:lpstr>
      <vt:lpstr>k</vt:lpstr>
      <vt:lpstr>KF</vt:lpstr>
      <vt:lpstr>KS</vt:lpstr>
      <vt:lpstr>m0</vt:lpstr>
      <vt:lpstr>S</vt:lpstr>
      <vt:lpstr>ST</vt:lpstr>
      <vt:lpstr>T</vt:lpstr>
      <vt:lpstr>Z</vt:lpstr>
    </vt:vector>
  </TitlesOfParts>
  <Company>University of California,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Dickson</dc:creator>
  <cp:lastModifiedBy>USR PORT LABCAM</cp:lastModifiedBy>
  <dcterms:created xsi:type="dcterms:W3CDTF">2011-06-26T18:13:13Z</dcterms:created>
  <dcterms:modified xsi:type="dcterms:W3CDTF">2021-10-26T03:52:34Z</dcterms:modified>
</cp:coreProperties>
</file>